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61" firstSheet="3" activeTab="11"/>
  </bookViews>
  <sheets>
    <sheet name="INDEX" sheetId="1" r:id="rId1"/>
    <sheet name="Anne-1" sheetId="2" r:id="rId2"/>
    <sheet name="Anne-2" sheetId="3" r:id="rId3"/>
    <sheet name="Anne-3" sheetId="4" r:id="rId4"/>
    <sheet name="Anne-4" sheetId="5" r:id="rId5"/>
    <sheet name="Anne-5" sheetId="6" r:id="rId6"/>
    <sheet name="Anne-6" sheetId="7" r:id="rId7"/>
    <sheet name="Anne-7" sheetId="8" r:id="rId8"/>
    <sheet name="Anne-8" sheetId="9" r:id="rId9"/>
    <sheet name="Annex-PQ)" sheetId="10" state="hidden" r:id="rId10"/>
    <sheet name="Anne-9" sheetId="11" r:id="rId11"/>
    <sheet name="Anne-10" sheetId="12" r:id="rId12"/>
    <sheet name="Anne-11" sheetId="13" r:id="rId13"/>
    <sheet name="BB" sheetId="14" r:id="rId14"/>
    <sheet name="Urban-Rural Conn" sheetId="15" r:id="rId15"/>
    <sheet name="Sheet1" sheetId="16" state="hidden" r:id="rId16"/>
    <sheet name="Sheet2" sheetId="17" state="hidden" r:id="rId17"/>
  </sheets>
  <externalReferences>
    <externalReference r:id="rId20"/>
  </externalReferences>
  <definedNames>
    <definedName name="_xlnm.Print_Area" localSheetId="1">'Anne-1'!$A$1:$AD$46</definedName>
    <definedName name="_xlnm.Print_Area" localSheetId="11">'Anne-10'!$A$1:$P$29</definedName>
    <definedName name="_xlnm.Print_Area" localSheetId="12">'Anne-11'!$B$1:$P$37</definedName>
    <definedName name="_xlnm.Print_Area" localSheetId="2">'Anne-2'!$A$1:$L$26</definedName>
    <definedName name="_xlnm.Print_Area" localSheetId="3">'Anne-3'!$A$1:$AK$37</definedName>
    <definedName name="_xlnm.Print_Area" localSheetId="4">'Anne-4'!$A$1:$V$45</definedName>
    <definedName name="_xlnm.Print_Area" localSheetId="5">'Anne-5'!$A$1:$T$46</definedName>
    <definedName name="_xlnm.Print_Area" localSheetId="6">'Anne-6'!$A$1:$AA$46</definedName>
    <definedName name="_xlnm.Print_Area" localSheetId="7">'Anne-7'!$A$1:$O$44</definedName>
    <definedName name="_xlnm.Print_Area" localSheetId="8">'Anne-8'!$A$1:$P$45</definedName>
    <definedName name="_xlnm.Print_Area" localSheetId="10">'Anne-9'!$A$1:$R$26</definedName>
    <definedName name="_xlnm.Print_Area" localSheetId="9">'Annex-PQ)'!$A$1:$S$26</definedName>
    <definedName name="_xlnm.Print_Area" localSheetId="13">'BB'!$A$1:$Q$20</definedName>
    <definedName name="_xlnm.Print_Area" localSheetId="14">'Urban-Rural Conn'!$A$1:$N$31</definedName>
    <definedName name="_xlnm.Print_Titles" localSheetId="7">'Anne-7'!$A:$B</definedName>
  </definedNames>
  <calcPr fullCalcOnLoad="1"/>
</workbook>
</file>

<file path=xl/comments5.xml><?xml version="1.0" encoding="utf-8"?>
<comments xmlns="http://schemas.openxmlformats.org/spreadsheetml/2006/main">
  <authors>
    <author>adltp</author>
  </authors>
  <commentList>
    <comment ref="AC8" authorId="0">
      <text>
        <r>
          <rPr>
            <b/>
            <sz val="8"/>
            <rFont val="Tahoma"/>
            <family val="2"/>
          </rPr>
          <t>adltp:</t>
        </r>
        <r>
          <rPr>
            <sz val="8"/>
            <rFont val="Tahoma"/>
            <family val="2"/>
          </rPr>
          <t xml:space="preserve">
From Population projection file</t>
        </r>
      </text>
    </comment>
    <comment ref="AD8" authorId="0">
      <text>
        <r>
          <rPr>
            <b/>
            <sz val="8"/>
            <rFont val="Tahoma"/>
            <family val="2"/>
          </rPr>
          <t>adltp:</t>
        </r>
        <r>
          <rPr>
            <sz val="8"/>
            <rFont val="Tahoma"/>
            <family val="2"/>
          </rPr>
          <t xml:space="preserve">
FROM POPULATION PROJECTION FILE</t>
        </r>
      </text>
    </comment>
  </commentList>
</comments>
</file>

<file path=xl/comments7.xml><?xml version="1.0" encoding="utf-8"?>
<comments xmlns="http://schemas.openxmlformats.org/spreadsheetml/2006/main">
  <authors>
    <author>clkoul</author>
  </authors>
  <commentList>
    <comment ref="T12" authorId="0">
      <text>
        <r>
          <rPr>
            <b/>
            <sz val="9"/>
            <rFont val="Tahoma"/>
            <family val="2"/>
          </rPr>
          <t>clkoul:</t>
        </r>
        <r>
          <rPr>
            <sz val="9"/>
            <rFont val="Tahoma"/>
            <family val="2"/>
          </rPr>
          <t xml:space="preserve">
remains fixed till further notice.</t>
        </r>
      </text>
    </comment>
    <comment ref="T21" authorId="0">
      <text>
        <r>
          <rPr>
            <b/>
            <sz val="9"/>
            <rFont val="Tahoma"/>
            <family val="2"/>
          </rPr>
          <t>clkoul:</t>
        </r>
        <r>
          <rPr>
            <sz val="9"/>
            <rFont val="Tahoma"/>
            <family val="2"/>
          </rPr>
          <t xml:space="preserve">
remains fixed till further notice.</t>
        </r>
      </text>
    </comment>
  </commentList>
</comments>
</file>

<file path=xl/sharedStrings.xml><?xml version="1.0" encoding="utf-8"?>
<sst xmlns="http://schemas.openxmlformats.org/spreadsheetml/2006/main" count="962" uniqueCount="283">
  <si>
    <t>Name of Cellular Operator</t>
  </si>
  <si>
    <t>BSNL</t>
  </si>
  <si>
    <t>MTNL</t>
  </si>
  <si>
    <t>Bharti</t>
  </si>
  <si>
    <t>Cellular</t>
  </si>
  <si>
    <t>BPL</t>
  </si>
  <si>
    <t>Mobile</t>
  </si>
  <si>
    <t>Telecom</t>
  </si>
  <si>
    <t>Reliable Internet</t>
  </si>
  <si>
    <t>Spice Comm</t>
  </si>
  <si>
    <t xml:space="preserve">Aircel </t>
  </si>
  <si>
    <t xml:space="preserve">Idea </t>
  </si>
  <si>
    <t>Mobile Comm</t>
  </si>
  <si>
    <t>Reliance Telecom</t>
  </si>
  <si>
    <t>Dishnet Wireless</t>
  </si>
  <si>
    <t>Reliance Infocomm. Ltd.</t>
  </si>
  <si>
    <t>Tata Teleservices Ltd.</t>
  </si>
  <si>
    <t>Bharti Telenet Ltd.</t>
  </si>
  <si>
    <t>Name of Wiredline Services Operator</t>
  </si>
  <si>
    <t xml:space="preserve">S. No. </t>
  </si>
  <si>
    <t>Name of circle</t>
  </si>
  <si>
    <t>Andaman &amp; Nicobar</t>
  </si>
  <si>
    <t>Andhra Pradesh</t>
  </si>
  <si>
    <t>Assam</t>
  </si>
  <si>
    <t>Bihar</t>
  </si>
  <si>
    <t>Chhattisgarh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</si>
  <si>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</si>
  <si>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</si>
  <si>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</si>
  <si>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</si>
  <si>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</si>
  <si>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</si>
  <si>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</si>
  <si>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</si>
  <si>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</si>
  <si>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>North East - 1</t>
  </si>
  <si>
    <t>North East - 2</t>
  </si>
  <si>
    <t>Orissa</t>
  </si>
  <si>
    <t>Punjab</t>
  </si>
  <si>
    <t>Rajasthan</t>
  </si>
  <si>
    <t>Tamilnadu</t>
  </si>
  <si>
    <t>Uttranchal</t>
  </si>
  <si>
    <t>Uttarpradesh East</t>
  </si>
  <si>
    <t>Uttarpradesh West</t>
  </si>
  <si>
    <t>West Bengal</t>
  </si>
  <si>
    <t>Kolkatta</t>
  </si>
  <si>
    <t>Chennai</t>
  </si>
  <si>
    <t>Total</t>
  </si>
  <si>
    <t>Delhi</t>
  </si>
  <si>
    <t>Mumbai</t>
  </si>
  <si>
    <t>G. Total</t>
  </si>
  <si>
    <t>Percentage Contribution</t>
  </si>
  <si>
    <t>Total PSUs</t>
  </si>
  <si>
    <t>Total Private Operators</t>
  </si>
  <si>
    <t>Bharti Total</t>
  </si>
  <si>
    <t>Aircel Total</t>
  </si>
  <si>
    <t>Idea Total</t>
  </si>
  <si>
    <t>TOTAL</t>
  </si>
  <si>
    <t>Reliance Infocomm. Ltd.(M)</t>
  </si>
  <si>
    <t>Tata Teleservices Ltd.(M)</t>
  </si>
  <si>
    <t>Total PSU</t>
  </si>
  <si>
    <t>Total Private Oprs (M)</t>
  </si>
  <si>
    <t>S. No.</t>
  </si>
  <si>
    <t>Name of Circle</t>
  </si>
  <si>
    <t>Name of Operator</t>
  </si>
  <si>
    <t>Reliance</t>
  </si>
  <si>
    <t>Tata Tele</t>
  </si>
  <si>
    <t>Idea</t>
  </si>
  <si>
    <t>Aircel</t>
  </si>
  <si>
    <t>Total Pvt Opr</t>
  </si>
  <si>
    <t>Grand Total</t>
  </si>
  <si>
    <t>Tata Indicom</t>
  </si>
  <si>
    <t>Shyam Telelinks/ Rainbow</t>
  </si>
  <si>
    <t>4) M.P. Licensing Area includes Chhatisgarh Circle</t>
  </si>
  <si>
    <t>3) UP(W) Licensing Area includes Uttaranchal Circle</t>
  </si>
  <si>
    <t>Bharti Airtel</t>
  </si>
  <si>
    <t>HFCL/ Connect</t>
  </si>
  <si>
    <t>5) Bihar Licensing area includes Jharkhand Circle.</t>
  </si>
  <si>
    <t>(2)  NE-1 Telecom Circle Licensing Area includes NE-2 Circle</t>
  </si>
  <si>
    <t>Note: (1)  West Bengal Telecom Circle Licensing Area includes A &amp; N Circle</t>
  </si>
  <si>
    <t>Grand Total WLL</t>
  </si>
  <si>
    <t>H.P.</t>
  </si>
  <si>
    <t>J&amp;K</t>
  </si>
  <si>
    <t>M.P.</t>
  </si>
  <si>
    <t>U.P.(East)</t>
  </si>
  <si>
    <t>U.P. (West)</t>
  </si>
  <si>
    <t>Population (as per Census 2001)</t>
  </si>
  <si>
    <t>Urban</t>
  </si>
  <si>
    <t>Rural</t>
  </si>
  <si>
    <t xml:space="preserve">Total </t>
  </si>
  <si>
    <t>BSNL Urban</t>
  </si>
  <si>
    <t>BSNL Rural</t>
  </si>
  <si>
    <t>BSNL Total</t>
  </si>
  <si>
    <t>All Operator</t>
  </si>
  <si>
    <t>TD 31.10.2002</t>
  </si>
  <si>
    <t>Rural DELs</t>
  </si>
  <si>
    <t>BSNL License Area wise</t>
  </si>
  <si>
    <t>BSNL WLL</t>
  </si>
  <si>
    <t>Fixed</t>
  </si>
  <si>
    <t>BSNL Mobile</t>
  </si>
  <si>
    <t>BSNL License Areawise</t>
  </si>
  <si>
    <t>Poulation License areawise</t>
  </si>
  <si>
    <t>Popul License areawise</t>
  </si>
  <si>
    <t>Population in thousands</t>
  </si>
  <si>
    <t>PSU DELs license Areawise</t>
  </si>
  <si>
    <t>PSU</t>
  </si>
  <si>
    <t>% Share of BSNL</t>
  </si>
  <si>
    <t>Vodafone Essar</t>
  </si>
  <si>
    <t>Percentage Contribution (Excl. Delhi &amp; Mumbai)</t>
  </si>
  <si>
    <t>Vodaphone Essar</t>
  </si>
  <si>
    <t>Vodafone Total</t>
  </si>
  <si>
    <t>Annexure-1</t>
  </si>
  <si>
    <t>Annexure-6</t>
  </si>
  <si>
    <t>Annexure-5</t>
  </si>
  <si>
    <t>Annexure-4</t>
  </si>
  <si>
    <t>Annexure-3</t>
  </si>
  <si>
    <t>MIS</t>
  </si>
  <si>
    <t>Reliance Total</t>
  </si>
  <si>
    <t>Rank</t>
  </si>
  <si>
    <t>Annexure-2</t>
  </si>
  <si>
    <t>% Market Share of BSNL</t>
  </si>
  <si>
    <t>Tele density License Areawise</t>
  </si>
  <si>
    <t>COAI</t>
  </si>
  <si>
    <t>Bharti Telenet License areawise</t>
  </si>
  <si>
    <t xml:space="preserve">Vodafone </t>
  </si>
  <si>
    <t>Difference with the highest</t>
  </si>
  <si>
    <t>% Difference with the highest</t>
  </si>
  <si>
    <t>Addition in Wired Telephone</t>
  </si>
  <si>
    <t>% Tele density</t>
  </si>
  <si>
    <t>% Market share of BSNL</t>
  </si>
  <si>
    <t>-</t>
  </si>
  <si>
    <t>WLL</t>
  </si>
  <si>
    <t xml:space="preserve">Wired line </t>
  </si>
  <si>
    <t>CMTS</t>
  </si>
  <si>
    <t xml:space="preserve">Reliance </t>
  </si>
  <si>
    <t>Annexure-7</t>
  </si>
  <si>
    <t>Uninor</t>
  </si>
  <si>
    <t>BSNL operational area</t>
  </si>
  <si>
    <t>% Share of BSNL in own operational area</t>
  </si>
  <si>
    <t>% Share of BSNL  All India</t>
  </si>
  <si>
    <t>GSM</t>
  </si>
  <si>
    <t>Wireless</t>
  </si>
  <si>
    <t>Telephone Connections (in Million)</t>
  </si>
  <si>
    <t>Wired Line</t>
  </si>
  <si>
    <t>Wiredline</t>
  </si>
  <si>
    <t>%age Telephone Market Share</t>
  </si>
  <si>
    <t>Vidiocon</t>
  </si>
  <si>
    <t>Vodafone</t>
  </si>
  <si>
    <t>Vediocon</t>
  </si>
  <si>
    <t xml:space="preserve">Working connection of Total operator as on </t>
  </si>
  <si>
    <t xml:space="preserve">Working connection of BSNL as on </t>
  </si>
  <si>
    <t>31.03.2010</t>
  </si>
  <si>
    <t>By All Operators</t>
  </si>
  <si>
    <t>By BSNL</t>
  </si>
  <si>
    <t>Wireleine</t>
  </si>
  <si>
    <t>Annexure-8</t>
  </si>
  <si>
    <t>A &amp; N</t>
  </si>
  <si>
    <t>No. of DELs of BSNL</t>
  </si>
  <si>
    <t>Year</t>
  </si>
  <si>
    <t>Telephone Connections in the country             (in Million)</t>
  </si>
  <si>
    <t>Telephone Connections Provided by BSNL  (in Million)</t>
  </si>
  <si>
    <t>%age Telephone Market Share of BSNL</t>
  </si>
  <si>
    <t>Fixed (Wireline+WLL-F)</t>
  </si>
  <si>
    <t>Mobile (GSM+WLL-M)</t>
  </si>
  <si>
    <t>30.09.2000</t>
  </si>
  <si>
    <t>31.03.2001</t>
  </si>
  <si>
    <t>31.03.2002</t>
  </si>
  <si>
    <t>31.03.2003</t>
  </si>
  <si>
    <t>31.03.2004</t>
  </si>
  <si>
    <t>31.03.2005</t>
  </si>
  <si>
    <t>31.03.2006</t>
  </si>
  <si>
    <t>31.03.2007</t>
  </si>
  <si>
    <t>31.03.2008</t>
  </si>
  <si>
    <t>31.03.2009</t>
  </si>
  <si>
    <t>Annexure-9</t>
  </si>
  <si>
    <t>W. Connection</t>
  </si>
  <si>
    <t>A. O.</t>
  </si>
  <si>
    <t>M. S.  BSNL</t>
  </si>
  <si>
    <t>Achi. d. Month</t>
  </si>
  <si>
    <t>Achi. upto Month</t>
  </si>
  <si>
    <t>BB-Density</t>
  </si>
  <si>
    <t>Month</t>
  </si>
  <si>
    <t>Connection Provided by BSNL (in lakh Nos.)</t>
  </si>
  <si>
    <t>Connection Provided by all Operators (in lakh Nos.)</t>
  </si>
  <si>
    <t>Wireline</t>
  </si>
  <si>
    <t>Annexure-10</t>
  </si>
  <si>
    <t>Growth</t>
  </si>
  <si>
    <t>MS Increase/decre</t>
  </si>
  <si>
    <t>D. Month</t>
  </si>
  <si>
    <t>D. Year</t>
  </si>
  <si>
    <t>31.03.2011</t>
  </si>
  <si>
    <t xml:space="preserve">As on </t>
  </si>
  <si>
    <t>Population (in thousand)</t>
  </si>
  <si>
    <t>Sub: Broadband Status (in million) &amp; Market Share</t>
  </si>
  <si>
    <t>Sub:- Growth in Telecom Sector during last Eleven years</t>
  </si>
  <si>
    <t>Connection</t>
  </si>
  <si>
    <t>Population (000)</t>
  </si>
  <si>
    <t>Teledensity</t>
  </si>
  <si>
    <t>31.03.2012</t>
  </si>
  <si>
    <t>Private Operators</t>
  </si>
  <si>
    <t>Loop Mobile</t>
  </si>
  <si>
    <t xml:space="preserve">Quadrant Televentures Ltd. </t>
  </si>
  <si>
    <t>Sistema Shyam</t>
  </si>
  <si>
    <t xml:space="preserve">Quadrant Televentures </t>
  </si>
  <si>
    <t>31.03.2013</t>
  </si>
  <si>
    <t>#</t>
  </si>
  <si>
    <t>(1)  West Bengal Telecom Circle Licensing Area includes A &amp; N Circle</t>
  </si>
  <si>
    <t>Note: #</t>
  </si>
  <si>
    <t>Vodaphone</t>
  </si>
  <si>
    <t>Tata</t>
  </si>
  <si>
    <t>Loop</t>
  </si>
  <si>
    <t>Name of Operators</t>
  </si>
  <si>
    <t>Wireless Subscribers</t>
  </si>
  <si>
    <t>VLR Subscribers</t>
  </si>
  <si>
    <t>% of Active subscribers</t>
  </si>
  <si>
    <t>Annexure-11</t>
  </si>
  <si>
    <t>(Figures in Million)</t>
  </si>
  <si>
    <t>Source: TRAI Report</t>
  </si>
  <si>
    <t>Vodafone*</t>
  </si>
  <si>
    <t>Note: %age market share is calculated only for those cases in which BSNL's figure and Industry figures are both positive.</t>
  </si>
  <si>
    <t>Annexure-2.</t>
  </si>
  <si>
    <t xml:space="preserve"> Annexure-3.</t>
  </si>
  <si>
    <t>Annexure-4.</t>
  </si>
  <si>
    <t>Annexure-5.</t>
  </si>
  <si>
    <t>Annexure-6.</t>
  </si>
  <si>
    <t>Annexure-7.</t>
  </si>
  <si>
    <t>Annexure-8.</t>
  </si>
  <si>
    <t>Annexure-9.</t>
  </si>
  <si>
    <t>Telephone connections &amp; Market share of BSNL during last eleven years</t>
  </si>
  <si>
    <t>Annexure-10.</t>
  </si>
  <si>
    <t>Annexure-11.</t>
  </si>
  <si>
    <t>INDEX</t>
  </si>
  <si>
    <t>.</t>
  </si>
  <si>
    <t>30.04.2013</t>
  </si>
  <si>
    <t>Conn. As on 31.03.2013</t>
  </si>
  <si>
    <t>Addition during 2013-14</t>
  </si>
  <si>
    <t>31.05.2013</t>
  </si>
  <si>
    <t>30.06.2013</t>
  </si>
  <si>
    <t>31.07.2013</t>
  </si>
  <si>
    <t>31.08.2013</t>
  </si>
  <si>
    <t>30.09.2013</t>
  </si>
  <si>
    <t>31.10.2013</t>
  </si>
  <si>
    <t>30.11.2013</t>
  </si>
  <si>
    <t>31.12.2013</t>
  </si>
  <si>
    <t>31.01.2014</t>
  </si>
  <si>
    <t>28.02.2014</t>
  </si>
  <si>
    <t>31.03.2014</t>
  </si>
  <si>
    <t>Note:  *Vodafone Status is as on 30.06.2013</t>
  </si>
  <si>
    <t>Quadrant</t>
  </si>
  <si>
    <t xml:space="preserve">No. 1-2(1)/Market Share/2013-CP&amp;M </t>
  </si>
  <si>
    <t>Month wise telephone connection provided by BSNL &amp; All operators during 2012-13 and 2013-14 (upto December)</t>
  </si>
  <si>
    <t>Sub:- The telephone connectionc &amp; Market Share of BSNL  during last three years &amp; current yaer</t>
  </si>
  <si>
    <t>As on</t>
  </si>
  <si>
    <t>Annexure-I</t>
  </si>
  <si>
    <t>Telephone Connections of BSNL  (in Lakhs)</t>
  </si>
  <si>
    <t>Telephone Connections in the country (in Lakhs)</t>
  </si>
  <si>
    <t>Sub: Telephone connection Provided by BSNL &amp; All operators during 2012-13 and 2013-14 (upto 31.01.14)</t>
  </si>
  <si>
    <t>Sub: Proportion of VLR subscribers (Service Provider wise) as on 31.12.2013</t>
  </si>
  <si>
    <t>SUB: Urban - Rural DELs of BSNL as on 31.01.2014</t>
  </si>
  <si>
    <t>Teledensity Circle wise for Urban, Rural areas and all operators as on 31.01.2014</t>
  </si>
  <si>
    <t>Total telephones operator wise and Market share as on 31.01.2014</t>
  </si>
  <si>
    <t>%age contribution of BSNL in Telephone connection Achievement during 2013-14 (upto 31.01.2014)</t>
  </si>
  <si>
    <r>
      <rPr>
        <sz val="7"/>
        <rFont val="Times New Roman"/>
        <family val="1"/>
      </rPr>
      <t xml:space="preserve"> </t>
    </r>
    <r>
      <rPr>
        <sz val="11.5"/>
        <rFont val="Arial"/>
        <family val="2"/>
      </rPr>
      <t>Total telephone connections operator wise and circle wise as on 31.01.2014</t>
    </r>
  </si>
  <si>
    <t>Wireless telephone connections operator wise and circle wise as on 31.01.2014</t>
  </si>
  <si>
    <t>Mobile telephone connections operator wise and circle wise as on 31.01.2014</t>
  </si>
  <si>
    <t>WLL telephone service operator wise and circle wise as on 31.01.2014</t>
  </si>
  <si>
    <t>Wireline telephone service operator wise and circle wise as on 31.01.2014</t>
  </si>
  <si>
    <t xml:space="preserve">Operator wise Proportion of VLR subscribers (Service Provider wise) as on 31.12.2013 </t>
  </si>
  <si>
    <t>Sub:- Tele-density Circlewise urban Rural Area &amp; All operators as on 31/01/2014.</t>
  </si>
  <si>
    <t>Population January -2014 (in thousand)</t>
  </si>
  <si>
    <t>Sub:- Total telephones connections operatorwise  &amp; Market Share as on 31.01.2014</t>
  </si>
  <si>
    <t>SUB: %age contribution of BSNL in Telephone connection Achievement during 2013-14 (upto 31.01.2014)</t>
  </si>
  <si>
    <t>Achievement during 2013-14 (upto 31.01.2014)</t>
  </si>
  <si>
    <t>Sub:- Total telephones Operator &amp; Circlewise as on 31/01/2014.</t>
  </si>
  <si>
    <t xml:space="preserve"> Population January -2014 (in thousand)</t>
  </si>
  <si>
    <t>Addition during January 2014</t>
  </si>
  <si>
    <t>Conn. As on 31.12.2013</t>
  </si>
  <si>
    <t>Sub:- Wireless telephones Cellular Operator &amp; circle wise as on 31/01/2014</t>
  </si>
  <si>
    <t>Sub:- GSM Mobile telephones Service Operator &amp; circle wise as on 31/01/2014</t>
  </si>
  <si>
    <t>Sub:- CDMA WLL telephones Service Operator &amp; Circle wise as on 31/01/2014</t>
  </si>
  <si>
    <t>Sub:- Wire line telephones Service Operator &amp; Circle wise as on 31/01/2014</t>
  </si>
  <si>
    <t>Note: %age contribution is calculated only for those cases in which BSNL's figure and Industry figures are both positive.</t>
  </si>
  <si>
    <r>
      <t>%age contribution of BSNL in Telephone connection Achievement</t>
    </r>
    <r>
      <rPr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</si>
</sst>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.0"/>
    <numFmt numFmtId="187" formatCode="0.0"/>
    <numFmt numFmtId="188" formatCode="0.000"/>
    <numFmt numFmtId="189" formatCode="0.000000"/>
    <numFmt numFmtId="190" formatCode="0.0000000"/>
    <numFmt numFmtId="191" formatCode="0.00000000"/>
    <numFmt numFmtId="192" formatCode="0.00000"/>
    <numFmt numFmtId="193" formatCode="0.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0"/>
    <numFmt numFmtId="199" formatCode="#,##0.0000"/>
    <numFmt numFmtId="200" formatCode="#,##0;[Red]#,##0"/>
    <numFmt numFmtId="201" formatCode="0.0%"/>
    <numFmt numFmtId="202" formatCode="[$-4009]dd\ mmmm\ yyyy"/>
  </numFmts>
  <fonts count="6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.5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.5"/>
      <name val="Arial"/>
      <family val="2"/>
    </font>
    <font>
      <sz val="7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6"/>
      <name val="Arial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7.1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hair"/>
      <right style="medium"/>
      <top style="medium"/>
      <bottom style="hair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ck"/>
      <right style="medium"/>
      <top style="medium"/>
      <bottom style="thin"/>
    </border>
    <border>
      <left style="thick"/>
      <right style="medium"/>
      <top>
        <color indexed="63"/>
      </top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766">
    <xf numFmtId="0" fontId="0" fillId="0" borderId="0" xfId="0" applyAlignment="1">
      <alignment/>
    </xf>
    <xf numFmtId="0" fontId="0" fillId="0" borderId="10" xfId="15" applyFont="1" applyBorder="1">
      <alignment/>
      <protection/>
    </xf>
    <xf numFmtId="0" fontId="2" fillId="0" borderId="0" xfId="15" applyFont="1">
      <alignment/>
      <protection/>
    </xf>
    <xf numFmtId="0" fontId="2" fillId="0" borderId="10" xfId="15" applyFont="1" applyBorder="1">
      <alignment/>
      <protection/>
    </xf>
    <xf numFmtId="0" fontId="2" fillId="0" borderId="10" xfId="15" applyFont="1" applyBorder="1" applyAlignment="1">
      <alignment horizontal="center"/>
      <protection/>
    </xf>
    <xf numFmtId="0" fontId="2" fillId="0" borderId="10" xfId="15" applyFont="1" applyBorder="1" applyAlignment="1">
      <alignment horizontal="center" vertical="center" wrapText="1"/>
      <protection/>
    </xf>
    <xf numFmtId="0" fontId="2" fillId="33" borderId="10" xfId="15" applyFont="1" applyFill="1" applyBorder="1" applyAlignment="1">
      <alignment vertical="center" wrapText="1"/>
      <protection/>
    </xf>
    <xf numFmtId="0" fontId="3" fillId="0" borderId="10" xfId="15" applyFont="1" applyBorder="1" applyAlignment="1">
      <alignment vertical="center" wrapText="1"/>
      <protection/>
    </xf>
    <xf numFmtId="3" fontId="2" fillId="0" borderId="10" xfId="15" applyNumberFormat="1" applyFont="1" applyBorder="1">
      <alignment/>
      <protection/>
    </xf>
    <xf numFmtId="3" fontId="2" fillId="0" borderId="10" xfId="15" applyNumberFormat="1" applyFont="1" applyBorder="1" applyAlignment="1">
      <alignment horizontal="center" wrapText="1"/>
      <protection/>
    </xf>
    <xf numFmtId="3" fontId="2" fillId="0" borderId="10" xfId="15" applyNumberFormat="1" applyFont="1" applyBorder="1" applyAlignment="1">
      <alignment horizontal="center"/>
      <protection/>
    </xf>
    <xf numFmtId="3" fontId="2" fillId="0" borderId="10" xfId="15" applyNumberFormat="1" applyFont="1" applyBorder="1" quotePrefix="1">
      <alignment/>
      <protection/>
    </xf>
    <xf numFmtId="10" fontId="2" fillId="0" borderId="0" xfId="15" applyNumberFormat="1" applyFont="1">
      <alignment/>
      <protection/>
    </xf>
    <xf numFmtId="0" fontId="3" fillId="0" borderId="10" xfId="15" applyFont="1" applyBorder="1">
      <alignment/>
      <protection/>
    </xf>
    <xf numFmtId="0" fontId="3" fillId="0" borderId="0" xfId="15" applyFont="1">
      <alignment/>
      <protection/>
    </xf>
    <xf numFmtId="0" fontId="3" fillId="0" borderId="11" xfId="15" applyFont="1" applyBorder="1">
      <alignment/>
      <protection/>
    </xf>
    <xf numFmtId="0" fontId="3" fillId="0" borderId="10" xfId="15" applyFont="1" applyBorder="1" applyAlignment="1">
      <alignment wrapText="1"/>
      <protection/>
    </xf>
    <xf numFmtId="0" fontId="2" fillId="0" borderId="12" xfId="15" applyFont="1" applyBorder="1" applyAlignment="1">
      <alignment/>
      <protection/>
    </xf>
    <xf numFmtId="0" fontId="2" fillId="0" borderId="13" xfId="15" applyFont="1" applyBorder="1" applyAlignment="1">
      <alignment/>
      <protection/>
    </xf>
    <xf numFmtId="0" fontId="2" fillId="0" borderId="14" xfId="15" applyFont="1" applyBorder="1" applyAlignment="1">
      <alignment/>
      <protection/>
    </xf>
    <xf numFmtId="0" fontId="1" fillId="0" borderId="10" xfId="15" applyFont="1" applyBorder="1">
      <alignment/>
      <protection/>
    </xf>
    <xf numFmtId="3" fontId="4" fillId="0" borderId="10" xfId="15" applyNumberFormat="1" applyFont="1" applyBorder="1">
      <alignment/>
      <protection/>
    </xf>
    <xf numFmtId="3" fontId="4" fillId="33" borderId="10" xfId="15" applyNumberFormat="1" applyFont="1" applyFill="1" applyBorder="1" applyAlignment="1" applyProtection="1">
      <alignment horizontal="center" vertical="center"/>
      <protection/>
    </xf>
    <xf numFmtId="3" fontId="2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3" fontId="2" fillId="0" borderId="10" xfId="15" applyNumberFormat="1" applyFont="1" applyBorder="1" applyAlignment="1">
      <alignment horizontal="right"/>
      <protection/>
    </xf>
    <xf numFmtId="0" fontId="4" fillId="0" borderId="0" xfId="15" applyFont="1">
      <alignment/>
      <protection/>
    </xf>
    <xf numFmtId="0" fontId="5" fillId="0" borderId="10" xfId="15" applyFont="1" applyBorder="1" applyAlignment="1">
      <alignment vertical="center" wrapText="1"/>
      <protection/>
    </xf>
    <xf numFmtId="0" fontId="4" fillId="0" borderId="10" xfId="15" applyFont="1" applyBorder="1">
      <alignment/>
      <protection/>
    </xf>
    <xf numFmtId="0" fontId="5" fillId="0" borderId="0" xfId="15" applyFont="1">
      <alignment/>
      <protection/>
    </xf>
    <xf numFmtId="3" fontId="2" fillId="34" borderId="10" xfId="15" applyNumberFormat="1" applyFont="1" applyFill="1" applyBorder="1">
      <alignment/>
      <protection/>
    </xf>
    <xf numFmtId="3" fontId="3" fillId="0" borderId="10" xfId="15" applyNumberFormat="1" applyFont="1" applyBorder="1">
      <alignment/>
      <protection/>
    </xf>
    <xf numFmtId="3" fontId="2" fillId="0" borderId="0" xfId="15" applyNumberFormat="1" applyFont="1" applyBorder="1">
      <alignment/>
      <protection/>
    </xf>
    <xf numFmtId="3" fontId="4" fillId="0" borderId="10" xfId="15" applyNumberFormat="1" applyFont="1" applyFill="1" applyBorder="1">
      <alignment/>
      <protection/>
    </xf>
    <xf numFmtId="0" fontId="4" fillId="0" borderId="0" xfId="15" applyFont="1" applyAlignment="1">
      <alignment horizontal="left"/>
      <protection/>
    </xf>
    <xf numFmtId="3" fontId="2" fillId="0" borderId="10" xfId="15" applyNumberFormat="1" applyFont="1" applyBorder="1" applyAlignment="1">
      <alignment horizontal="right" wrapText="1"/>
      <protection/>
    </xf>
    <xf numFmtId="3" fontId="2" fillId="0" borderId="10" xfId="15" applyNumberFormat="1" applyFont="1" applyBorder="1">
      <alignment/>
      <protection/>
    </xf>
    <xf numFmtId="0" fontId="1" fillId="0" borderId="10" xfId="15" applyFont="1" applyBorder="1" applyAlignment="1">
      <alignment vertical="center" wrapText="1"/>
      <protection/>
    </xf>
    <xf numFmtId="3" fontId="2" fillId="0" borderId="10" xfId="15" applyNumberFormat="1" applyFont="1" applyBorder="1" applyAlignment="1">
      <alignment horizontal="center" vertical="center"/>
      <protection/>
    </xf>
    <xf numFmtId="0" fontId="3" fillId="0" borderId="0" xfId="15" applyFont="1" applyAlignment="1">
      <alignment horizontal="center" vertical="center"/>
      <protection/>
    </xf>
    <xf numFmtId="0" fontId="3" fillId="0" borderId="11" xfId="15" applyFont="1" applyBorder="1" applyAlignment="1">
      <alignment horizontal="center" vertical="center"/>
      <protection/>
    </xf>
    <xf numFmtId="0" fontId="2" fillId="0" borderId="0" xfId="15" applyFont="1" applyAlignment="1">
      <alignment vertical="center"/>
      <protection/>
    </xf>
    <xf numFmtId="3" fontId="2" fillId="0" borderId="0" xfId="15" applyNumberFormat="1" applyFont="1" applyAlignment="1">
      <alignment vertical="center"/>
      <protection/>
    </xf>
    <xf numFmtId="0" fontId="2" fillId="0" borderId="0" xfId="15" applyFont="1" applyFill="1" applyAlignment="1">
      <alignment vertical="center"/>
      <protection/>
    </xf>
    <xf numFmtId="2" fontId="2" fillId="0" borderId="0" xfId="15" applyNumberFormat="1" applyFont="1" applyAlignment="1">
      <alignment vertical="center"/>
      <protection/>
    </xf>
    <xf numFmtId="0" fontId="3" fillId="0" borderId="10" xfId="15" applyFont="1" applyBorder="1" applyAlignment="1">
      <alignment horizontal="center" vertical="center" wrapText="1"/>
      <protection/>
    </xf>
    <xf numFmtId="3" fontId="2" fillId="0" borderId="10" xfId="15" applyNumberFormat="1" applyFont="1" applyBorder="1" applyAlignment="1">
      <alignment vertical="center"/>
      <protection/>
    </xf>
    <xf numFmtId="0" fontId="3" fillId="0" borderId="10" xfId="15" applyFont="1" applyBorder="1" applyAlignment="1">
      <alignment horizontal="center" vertical="center" wrapText="1"/>
      <protection/>
    </xf>
    <xf numFmtId="0" fontId="5" fillId="0" borderId="10" xfId="15" applyFont="1" applyBorder="1" applyAlignment="1">
      <alignment horizontal="center"/>
      <protection/>
    </xf>
    <xf numFmtId="0" fontId="1" fillId="0" borderId="10" xfId="15" applyFont="1" applyBorder="1" applyAlignment="1">
      <alignment horizontal="center" vertical="center" wrapText="1"/>
      <protection/>
    </xf>
    <xf numFmtId="0" fontId="1" fillId="0" borderId="10" xfId="15" applyFont="1" applyBorder="1" applyAlignment="1">
      <alignment horizontal="center" vertical="top" wrapText="1"/>
      <protection/>
    </xf>
    <xf numFmtId="0" fontId="3" fillId="0" borderId="10" xfId="15" applyFont="1" applyBorder="1" applyAlignment="1">
      <alignment horizontal="center" vertical="center"/>
      <protection/>
    </xf>
    <xf numFmtId="0" fontId="4" fillId="0" borderId="10" xfId="15" applyFont="1" applyBorder="1" applyAlignment="1">
      <alignment horizontal="center" vertical="center"/>
      <protection/>
    </xf>
    <xf numFmtId="0" fontId="4" fillId="0" borderId="14" xfId="15" applyFont="1" applyBorder="1" applyAlignment="1">
      <alignment vertical="center"/>
      <protection/>
    </xf>
    <xf numFmtId="0" fontId="3" fillId="0" borderId="0" xfId="15" applyFont="1" applyAlignment="1">
      <alignment horizontal="center"/>
      <protection/>
    </xf>
    <xf numFmtId="3" fontId="0" fillId="0" borderId="14" xfId="15" applyNumberFormat="1" applyFont="1" applyBorder="1">
      <alignment/>
      <protection/>
    </xf>
    <xf numFmtId="0" fontId="2" fillId="0" borderId="10" xfId="15" applyFont="1" applyBorder="1">
      <alignment/>
      <protection/>
    </xf>
    <xf numFmtId="10" fontId="2" fillId="0" borderId="10" xfId="15" applyNumberFormat="1" applyFont="1" applyBorder="1" applyAlignment="1">
      <alignment/>
      <protection/>
    </xf>
    <xf numFmtId="3" fontId="2" fillId="0" borderId="10" xfId="15" applyNumberFormat="1" applyFont="1" applyBorder="1" applyAlignment="1">
      <alignment horizontal="center" vertical="center"/>
      <protection/>
    </xf>
    <xf numFmtId="3" fontId="2" fillId="0" borderId="10" xfId="15" applyNumberFormat="1" applyFont="1" applyBorder="1" applyAlignment="1">
      <alignment/>
      <protection/>
    </xf>
    <xf numFmtId="3" fontId="2" fillId="33" borderId="10" xfId="15" applyNumberFormat="1" applyFont="1" applyFill="1" applyBorder="1" applyAlignment="1">
      <alignment horizontal="center" vertical="center"/>
      <protection/>
    </xf>
    <xf numFmtId="3" fontId="2" fillId="0" borderId="10" xfId="15" applyNumberFormat="1" applyFont="1" applyBorder="1" applyAlignment="1" quotePrefix="1">
      <alignment horizontal="center" vertical="center"/>
      <protection/>
    </xf>
    <xf numFmtId="3" fontId="2" fillId="0" borderId="10" xfId="15" applyNumberFormat="1" applyFont="1" applyBorder="1" applyAlignment="1">
      <alignment horizontal="center"/>
      <protection/>
    </xf>
    <xf numFmtId="1" fontId="2" fillId="0" borderId="10" xfId="58" applyNumberFormat="1" applyFont="1" applyBorder="1" applyAlignment="1">
      <alignment horizontal="center" vertical="center"/>
      <protection/>
    </xf>
    <xf numFmtId="0" fontId="2" fillId="0" borderId="0" xfId="15" applyFont="1">
      <alignment/>
      <protection/>
    </xf>
    <xf numFmtId="3" fontId="2" fillId="0" borderId="0" xfId="15" applyNumberFormat="1" applyFont="1">
      <alignment/>
      <protection/>
    </xf>
    <xf numFmtId="3" fontId="2" fillId="0" borderId="12" xfId="15" applyNumberFormat="1" applyFont="1" applyBorder="1" applyAlignment="1">
      <alignment horizontal="center" vertical="center"/>
      <protection/>
    </xf>
    <xf numFmtId="3" fontId="2" fillId="0" borderId="12" xfId="15" applyNumberFormat="1" applyFont="1" applyBorder="1" applyAlignment="1">
      <alignment horizontal="center"/>
      <protection/>
    </xf>
    <xf numFmtId="3" fontId="2" fillId="0" borderId="0" xfId="15" applyNumberFormat="1" applyFont="1" applyBorder="1">
      <alignment/>
      <protection/>
    </xf>
    <xf numFmtId="0" fontId="2" fillId="0" borderId="0" xfId="15" applyFont="1" applyAlignment="1">
      <alignment vertical="center"/>
      <protection/>
    </xf>
    <xf numFmtId="3" fontId="2" fillId="0" borderId="10" xfId="15" applyNumberFormat="1" applyFont="1" applyFill="1" applyBorder="1">
      <alignment/>
      <protection/>
    </xf>
    <xf numFmtId="3" fontId="2" fillId="0" borderId="10" xfId="15" applyNumberFormat="1" applyFont="1" applyFill="1" applyBorder="1" quotePrefix="1">
      <alignment/>
      <protection/>
    </xf>
    <xf numFmtId="10" fontId="0" fillId="0" borderId="0" xfId="15" applyNumberFormat="1" applyFont="1">
      <alignment/>
      <protection/>
    </xf>
    <xf numFmtId="1" fontId="0" fillId="0" borderId="0" xfId="15" applyNumberFormat="1" applyFont="1">
      <alignment/>
      <protection/>
    </xf>
    <xf numFmtId="3" fontId="4" fillId="0" borderId="0" xfId="15" applyNumberFormat="1" applyFont="1">
      <alignment/>
      <protection/>
    </xf>
    <xf numFmtId="0" fontId="2" fillId="0" borderId="10" xfId="15" applyFont="1" applyBorder="1" applyAlignment="1">
      <alignment horizontal="center" vertical="center"/>
      <protection/>
    </xf>
    <xf numFmtId="0" fontId="3" fillId="0" borderId="0" xfId="15" applyFont="1">
      <alignment/>
      <protection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7" fillId="0" borderId="0" xfId="0" applyFont="1" applyBorder="1" applyAlignment="1">
      <alignment vertical="top" wrapText="1"/>
    </xf>
    <xf numFmtId="0" fontId="3" fillId="0" borderId="10" xfId="15" applyFont="1" applyBorder="1" applyAlignment="1">
      <alignment horizontal="center"/>
      <protection/>
    </xf>
    <xf numFmtId="3" fontId="0" fillId="0" borderId="0" xfId="0" applyNumberFormat="1" applyAlignment="1">
      <alignment/>
    </xf>
    <xf numFmtId="3" fontId="0" fillId="0" borderId="0" xfId="15" applyNumberFormat="1" applyFont="1" applyFill="1">
      <alignment/>
      <protection/>
    </xf>
    <xf numFmtId="1" fontId="0" fillId="0" borderId="0" xfId="0" applyNumberFormat="1" applyAlignment="1">
      <alignment/>
    </xf>
    <xf numFmtId="3" fontId="3" fillId="0" borderId="10" xfId="15" applyNumberFormat="1" applyFont="1" applyBorder="1">
      <alignment/>
      <protection/>
    </xf>
    <xf numFmtId="0" fontId="2" fillId="33" borderId="10" xfId="15" applyFont="1" applyFill="1" applyBorder="1" applyAlignment="1">
      <alignment horizontal="center" vertical="center" wrapText="1"/>
      <protection/>
    </xf>
    <xf numFmtId="3" fontId="2" fillId="0" borderId="10" xfId="15" applyNumberFormat="1" applyFont="1" applyFill="1" applyBorder="1" applyAlignment="1">
      <alignment horizontal="center" vertical="center"/>
      <protection/>
    </xf>
    <xf numFmtId="3" fontId="2" fillId="34" borderId="10" xfId="15" applyNumberFormat="1" applyFont="1" applyFill="1" applyBorder="1" applyAlignment="1">
      <alignment horizontal="center" vertical="center"/>
      <protection/>
    </xf>
    <xf numFmtId="3" fontId="2" fillId="0" borderId="0" xfId="15" applyNumberFormat="1" applyFont="1" applyAlignment="1">
      <alignment horizontal="center" vertical="center"/>
      <protection/>
    </xf>
    <xf numFmtId="10" fontId="2" fillId="0" borderId="10" xfId="15" applyNumberFormat="1" applyFont="1" applyBorder="1">
      <alignment/>
      <protection/>
    </xf>
    <xf numFmtId="0" fontId="2" fillId="0" borderId="0" xfId="15" applyFont="1" applyAlignment="1">
      <alignment horizontal="center"/>
      <protection/>
    </xf>
    <xf numFmtId="10" fontId="3" fillId="0" borderId="10" xfId="15" applyNumberFormat="1" applyFont="1" applyBorder="1" applyAlignment="1">
      <alignment/>
      <protection/>
    </xf>
    <xf numFmtId="2" fontId="0" fillId="0" borderId="0" xfId="0" applyNumberFormat="1" applyAlignment="1">
      <alignment/>
    </xf>
    <xf numFmtId="3" fontId="3" fillId="0" borderId="10" xfId="15" applyNumberFormat="1" applyFont="1" applyFill="1" applyBorder="1">
      <alignment/>
      <protection/>
    </xf>
    <xf numFmtId="3" fontId="3" fillId="34" borderId="10" xfId="15" applyNumberFormat="1" applyFont="1" applyFill="1" applyBorder="1">
      <alignment/>
      <protection/>
    </xf>
    <xf numFmtId="0" fontId="0" fillId="0" borderId="10" xfId="0" applyBorder="1" applyAlignment="1">
      <alignment/>
    </xf>
    <xf numFmtId="3" fontId="2" fillId="0" borderId="10" xfId="15" applyNumberFormat="1" applyFont="1" applyFill="1" applyBorder="1">
      <alignment/>
      <protection/>
    </xf>
    <xf numFmtId="0" fontId="2" fillId="0" borderId="0" xfId="15" applyFont="1" applyFill="1">
      <alignment/>
      <protection/>
    </xf>
    <xf numFmtId="0" fontId="2" fillId="0" borderId="0" xfId="15" applyFont="1" applyFill="1" applyAlignment="1">
      <alignment horizontal="center"/>
      <protection/>
    </xf>
    <xf numFmtId="0" fontId="2" fillId="0" borderId="13" xfId="15" applyFont="1" applyFill="1" applyBorder="1" applyAlignment="1">
      <alignment/>
      <protection/>
    </xf>
    <xf numFmtId="3" fontId="2" fillId="34" borderId="0" xfId="15" applyNumberFormat="1" applyFont="1" applyFill="1">
      <alignment/>
      <protection/>
    </xf>
    <xf numFmtId="0" fontId="2" fillId="0" borderId="0" xfId="15" applyFont="1" applyBorder="1">
      <alignment/>
      <protection/>
    </xf>
    <xf numFmtId="10" fontId="5" fillId="0" borderId="0" xfId="15" applyNumberFormat="1" applyFont="1" applyBorder="1" applyAlignment="1">
      <alignment horizontal="center"/>
      <protection/>
    </xf>
    <xf numFmtId="3" fontId="4" fillId="0" borderId="14" xfId="15" applyNumberFormat="1" applyFont="1" applyBorder="1">
      <alignment/>
      <protection/>
    </xf>
    <xf numFmtId="0" fontId="3" fillId="33" borderId="10" xfId="15" applyFont="1" applyFill="1" applyBorder="1" applyAlignment="1">
      <alignment horizontal="center" vertical="center" wrapText="1"/>
      <protection/>
    </xf>
    <xf numFmtId="9" fontId="2" fillId="0" borderId="10" xfId="15" applyNumberFormat="1" applyFont="1" applyBorder="1">
      <alignment/>
      <protection/>
    </xf>
    <xf numFmtId="3" fontId="0" fillId="0" borderId="10" xfId="0" applyNumberFormat="1" applyBorder="1" applyAlignment="1">
      <alignment/>
    </xf>
    <xf numFmtId="0" fontId="2" fillId="0" borderId="12" xfId="15" applyFont="1" applyBorder="1">
      <alignment/>
      <protection/>
    </xf>
    <xf numFmtId="0" fontId="2" fillId="0" borderId="14" xfId="15" applyFont="1" applyBorder="1">
      <alignment/>
      <protection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2" fillId="0" borderId="13" xfId="15" applyFont="1" applyBorder="1">
      <alignment/>
      <protection/>
    </xf>
    <xf numFmtId="0" fontId="2" fillId="0" borderId="15" xfId="15" applyFont="1" applyBorder="1">
      <alignment/>
      <protection/>
    </xf>
    <xf numFmtId="10" fontId="2" fillId="0" borderId="11" xfId="15" applyNumberFormat="1" applyFont="1" applyBorder="1">
      <alignment/>
      <protection/>
    </xf>
    <xf numFmtId="10" fontId="2" fillId="0" borderId="0" xfId="15" applyNumberFormat="1" applyFont="1" applyBorder="1">
      <alignment/>
      <protection/>
    </xf>
    <xf numFmtId="0" fontId="2" fillId="0" borderId="16" xfId="15" applyFont="1" applyBorder="1" applyAlignment="1">
      <alignment wrapText="1"/>
      <protection/>
    </xf>
    <xf numFmtId="0" fontId="2" fillId="0" borderId="17" xfId="15" applyFont="1" applyBorder="1" applyAlignment="1">
      <alignment wrapText="1"/>
      <protection/>
    </xf>
    <xf numFmtId="0" fontId="2" fillId="0" borderId="0" xfId="15" applyFont="1" applyBorder="1" applyAlignment="1">
      <alignment wrapText="1"/>
      <protection/>
    </xf>
    <xf numFmtId="0" fontId="2" fillId="0" borderId="10" xfId="15" applyFont="1" applyBorder="1" applyAlignment="1">
      <alignment horizontal="center" wrapText="1"/>
      <protection/>
    </xf>
    <xf numFmtId="10" fontId="0" fillId="0" borderId="0" xfId="15" applyNumberFormat="1" applyFont="1" applyBorder="1">
      <alignment/>
      <protection/>
    </xf>
    <xf numFmtId="3" fontId="0" fillId="0" borderId="18" xfId="15" applyNumberFormat="1" applyFont="1" applyBorder="1">
      <alignment/>
      <protection/>
    </xf>
    <xf numFmtId="3" fontId="0" fillId="0" borderId="19" xfId="15" applyNumberFormat="1" applyFont="1" applyBorder="1">
      <alignment/>
      <protection/>
    </xf>
    <xf numFmtId="0" fontId="0" fillId="0" borderId="20" xfId="0" applyBorder="1" applyAlignment="1">
      <alignment/>
    </xf>
    <xf numFmtId="0" fontId="2" fillId="0" borderId="21" xfId="15" applyFont="1" applyBorder="1">
      <alignment/>
      <protection/>
    </xf>
    <xf numFmtId="0" fontId="0" fillId="0" borderId="22" xfId="0" applyBorder="1" applyAlignment="1">
      <alignment/>
    </xf>
    <xf numFmtId="0" fontId="2" fillId="0" borderId="23" xfId="15" applyFont="1" applyBorder="1">
      <alignment/>
      <protection/>
    </xf>
    <xf numFmtId="0" fontId="2" fillId="0" borderId="24" xfId="15" applyFont="1" applyBorder="1">
      <alignment/>
      <protection/>
    </xf>
    <xf numFmtId="0" fontId="2" fillId="0" borderId="22" xfId="15" applyFont="1" applyBorder="1">
      <alignment/>
      <protection/>
    </xf>
    <xf numFmtId="0" fontId="4" fillId="0" borderId="25" xfId="15" applyFont="1" applyBorder="1">
      <alignment/>
      <protection/>
    </xf>
    <xf numFmtId="3" fontId="0" fillId="0" borderId="26" xfId="15" applyNumberFormat="1" applyFont="1" applyBorder="1">
      <alignment/>
      <protection/>
    </xf>
    <xf numFmtId="3" fontId="0" fillId="0" borderId="27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2" fillId="0" borderId="28" xfId="15" applyFont="1" applyBorder="1" applyAlignment="1">
      <alignment horizontal="center"/>
      <protection/>
    </xf>
    <xf numFmtId="0" fontId="2" fillId="0" borderId="29" xfId="15" applyFont="1" applyBorder="1" applyAlignment="1">
      <alignment horizontal="center"/>
      <protection/>
    </xf>
    <xf numFmtId="0" fontId="2" fillId="0" borderId="28" xfId="0" applyFont="1" applyBorder="1" applyAlignment="1">
      <alignment horizontal="center"/>
    </xf>
    <xf numFmtId="3" fontId="0" fillId="0" borderId="0" xfId="15" applyNumberFormat="1" applyFont="1">
      <alignment/>
      <protection/>
    </xf>
    <xf numFmtId="0" fontId="5" fillId="0" borderId="0" xfId="15" applyFont="1" applyBorder="1" applyAlignment="1">
      <alignment vertical="center"/>
      <protection/>
    </xf>
    <xf numFmtId="2" fontId="2" fillId="0" borderId="10" xfId="15" applyNumberFormat="1" applyFont="1" applyBorder="1" applyAlignment="1">
      <alignment horizontal="center"/>
      <protection/>
    </xf>
    <xf numFmtId="2" fontId="2" fillId="0" borderId="10" xfId="15" applyNumberFormat="1" applyFont="1" applyBorder="1">
      <alignment/>
      <protection/>
    </xf>
    <xf numFmtId="2" fontId="2" fillId="0" borderId="0" xfId="15" applyNumberFormat="1" applyFont="1" applyBorder="1">
      <alignment/>
      <protection/>
    </xf>
    <xf numFmtId="2" fontId="4" fillId="0" borderId="14" xfId="15" applyNumberFormat="1" applyFont="1" applyBorder="1" applyAlignment="1">
      <alignment horizontal="center"/>
      <protection/>
    </xf>
    <xf numFmtId="2" fontId="4" fillId="0" borderId="10" xfId="15" applyNumberFormat="1" applyFont="1" applyBorder="1">
      <alignment/>
      <protection/>
    </xf>
    <xf numFmtId="2" fontId="0" fillId="0" borderId="14" xfId="15" applyNumberFormat="1" applyFont="1" applyBorder="1" applyAlignment="1">
      <alignment horizontal="center"/>
      <protection/>
    </xf>
    <xf numFmtId="2" fontId="2" fillId="0" borderId="11" xfId="15" applyNumberFormat="1" applyFont="1" applyBorder="1">
      <alignment/>
      <protection/>
    </xf>
    <xf numFmtId="2" fontId="1" fillId="0" borderId="10" xfId="15" applyNumberFormat="1" applyFont="1" applyBorder="1" applyAlignment="1">
      <alignment horizontal="center"/>
      <protection/>
    </xf>
    <xf numFmtId="2" fontId="3" fillId="0" borderId="10" xfId="15" applyNumberFormat="1" applyFont="1" applyBorder="1">
      <alignment/>
      <protection/>
    </xf>
    <xf numFmtId="2" fontId="3" fillId="0" borderId="10" xfId="15" applyNumberFormat="1" applyFont="1" applyBorder="1">
      <alignment/>
      <protection/>
    </xf>
    <xf numFmtId="2" fontId="3" fillId="0" borderId="30" xfId="15" applyNumberFormat="1" applyFont="1" applyBorder="1" applyAlignment="1">
      <alignment horizontal="center"/>
      <protection/>
    </xf>
    <xf numFmtId="2" fontId="0" fillId="0" borderId="10" xfId="15" applyNumberFormat="1" applyFont="1" applyBorder="1">
      <alignment/>
      <protection/>
    </xf>
    <xf numFmtId="2" fontId="5" fillId="0" borderId="10" xfId="15" applyNumberFormat="1" applyFont="1" applyBorder="1" applyAlignment="1">
      <alignment horizontal="center"/>
      <protection/>
    </xf>
    <xf numFmtId="2" fontId="4" fillId="0" borderId="10" xfId="15" applyNumberFormat="1" applyFont="1" applyBorder="1" applyAlignment="1">
      <alignment horizontal="center"/>
      <protection/>
    </xf>
    <xf numFmtId="2" fontId="2" fillId="0" borderId="10" xfId="15" applyNumberFormat="1" applyFont="1" applyBorder="1" applyAlignment="1">
      <alignment horizontal="center" vertical="center"/>
      <protection/>
    </xf>
    <xf numFmtId="2" fontId="2" fillId="0" borderId="10" xfId="15" applyNumberFormat="1" applyFont="1" applyBorder="1" applyAlignment="1">
      <alignment horizontal="center" vertical="center"/>
      <protection/>
    </xf>
    <xf numFmtId="2" fontId="2" fillId="0" borderId="10" xfId="15" applyNumberFormat="1" applyFont="1" applyBorder="1">
      <alignment/>
      <protection/>
    </xf>
    <xf numFmtId="2" fontId="3" fillId="0" borderId="10" xfId="15" applyNumberFormat="1" applyFont="1" applyBorder="1" applyAlignment="1">
      <alignment horizontal="center" vertical="center"/>
      <protection/>
    </xf>
    <xf numFmtId="2" fontId="2" fillId="0" borderId="10" xfId="15" applyNumberFormat="1" applyFont="1" applyBorder="1" applyAlignment="1" quotePrefix="1">
      <alignment horizontal="center"/>
      <protection/>
    </xf>
    <xf numFmtId="4" fontId="0" fillId="0" borderId="0" xfId="0" applyNumberFormat="1" applyAlignment="1">
      <alignment/>
    </xf>
    <xf numFmtId="2" fontId="2" fillId="0" borderId="0" xfId="15" applyNumberFormat="1" applyFont="1">
      <alignment/>
      <protection/>
    </xf>
    <xf numFmtId="3" fontId="2" fillId="0" borderId="0" xfId="15" applyNumberFormat="1" applyFont="1" applyFill="1">
      <alignment/>
      <protection/>
    </xf>
    <xf numFmtId="2" fontId="4" fillId="0" borderId="10" xfId="15" applyNumberFormat="1" applyFont="1" applyBorder="1" applyAlignment="1">
      <alignment horizontal="center" vertical="center"/>
      <protection/>
    </xf>
    <xf numFmtId="2" fontId="4" fillId="0" borderId="0" xfId="15" applyNumberFormat="1" applyFont="1">
      <alignment/>
      <protection/>
    </xf>
    <xf numFmtId="0" fontId="4" fillId="0" borderId="0" xfId="15" applyFont="1" applyBorder="1">
      <alignment/>
      <protection/>
    </xf>
    <xf numFmtId="0" fontId="0" fillId="0" borderId="0" xfId="0" applyFont="1" applyAlignment="1">
      <alignment/>
    </xf>
    <xf numFmtId="0" fontId="1" fillId="0" borderId="31" xfId="15" applyFont="1" applyBorder="1" applyAlignment="1">
      <alignment horizontal="center" vertical="center" wrapText="1"/>
      <protection/>
    </xf>
    <xf numFmtId="0" fontId="1" fillId="0" borderId="10" xfId="15" applyFont="1" applyBorder="1" applyAlignment="1">
      <alignment horizontal="center" vertical="center"/>
      <protection/>
    </xf>
    <xf numFmtId="0" fontId="1" fillId="0" borderId="10" xfId="15" applyFont="1" applyBorder="1" applyAlignment="1">
      <alignment vertical="center"/>
      <protection/>
    </xf>
    <xf numFmtId="0" fontId="0" fillId="0" borderId="10" xfId="15" applyFont="1" applyBorder="1" applyAlignment="1">
      <alignment vertical="center"/>
      <protection/>
    </xf>
    <xf numFmtId="0" fontId="2" fillId="0" borderId="32" xfId="15" applyFont="1" applyBorder="1">
      <alignment/>
      <protection/>
    </xf>
    <xf numFmtId="0" fontId="4" fillId="0" borderId="33" xfId="15" applyFont="1" applyBorder="1">
      <alignment/>
      <protection/>
    </xf>
    <xf numFmtId="0" fontId="2" fillId="0" borderId="31" xfId="15" applyFont="1" applyBorder="1" applyAlignment="1">
      <alignment horizontal="center"/>
      <protection/>
    </xf>
    <xf numFmtId="3" fontId="0" fillId="0" borderId="34" xfId="15" applyNumberFormat="1" applyFont="1" applyBorder="1">
      <alignment/>
      <protection/>
    </xf>
    <xf numFmtId="3" fontId="0" fillId="0" borderId="35" xfId="15" applyNumberFormat="1" applyFont="1" applyBorder="1">
      <alignment/>
      <protection/>
    </xf>
    <xf numFmtId="0" fontId="0" fillId="0" borderId="35" xfId="0" applyBorder="1" applyAlignment="1">
      <alignment/>
    </xf>
    <xf numFmtId="2" fontId="3" fillId="0" borderId="36" xfId="15" applyNumberFormat="1" applyFont="1" applyBorder="1" applyAlignment="1">
      <alignment horizontal="center"/>
      <protection/>
    </xf>
    <xf numFmtId="0" fontId="3" fillId="0" borderId="10" xfId="15" applyFont="1" applyBorder="1">
      <alignment/>
      <protection/>
    </xf>
    <xf numFmtId="2" fontId="5" fillId="0" borderId="0" xfId="15" applyNumberFormat="1" applyFont="1" applyBorder="1" applyAlignment="1">
      <alignment horizontal="center"/>
      <protection/>
    </xf>
    <xf numFmtId="0" fontId="0" fillId="0" borderId="10" xfId="0" applyFont="1" applyBorder="1" applyAlignment="1">
      <alignment/>
    </xf>
    <xf numFmtId="0" fontId="1" fillId="0" borderId="11" xfId="15" applyFont="1" applyBorder="1" applyAlignment="1">
      <alignment vertical="center"/>
      <protection/>
    </xf>
    <xf numFmtId="2" fontId="5" fillId="0" borderId="10" xfId="15" applyNumberFormat="1" applyFont="1" applyBorder="1" applyAlignment="1">
      <alignment horizontal="center" vertical="center"/>
      <protection/>
    </xf>
    <xf numFmtId="2" fontId="4" fillId="0" borderId="0" xfId="15" applyNumberFormat="1" applyFont="1" applyAlignment="1">
      <alignment horizontal="center"/>
      <protection/>
    </xf>
    <xf numFmtId="4" fontId="4" fillId="0" borderId="10" xfId="15" applyNumberFormat="1" applyFont="1" applyBorder="1" applyAlignment="1">
      <alignment horizontal="center"/>
      <protection/>
    </xf>
    <xf numFmtId="4" fontId="5" fillId="0" borderId="10" xfId="15" applyNumberFormat="1" applyFont="1" applyBorder="1" applyAlignment="1">
      <alignment horizontal="center"/>
      <protection/>
    </xf>
    <xf numFmtId="0" fontId="5" fillId="0" borderId="10" xfId="15" applyFont="1" applyBorder="1" applyAlignment="1">
      <alignment horizontal="center" vertical="center" wrapText="1"/>
      <protection/>
    </xf>
    <xf numFmtId="3" fontId="4" fillId="0" borderId="10" xfId="15" applyNumberFormat="1" applyFont="1" applyBorder="1" applyAlignment="1">
      <alignment horizontal="center"/>
      <protection/>
    </xf>
    <xf numFmtId="0" fontId="4" fillId="0" borderId="10" xfId="15" applyFont="1" applyBorder="1" applyAlignment="1">
      <alignment horizontal="center"/>
      <protection/>
    </xf>
    <xf numFmtId="0" fontId="1" fillId="0" borderId="0" xfId="0" applyFont="1" applyAlignment="1">
      <alignment/>
    </xf>
    <xf numFmtId="0" fontId="5" fillId="0" borderId="31" xfId="15" applyFont="1" applyBorder="1">
      <alignment/>
      <protection/>
    </xf>
    <xf numFmtId="0" fontId="4" fillId="0" borderId="31" xfId="15" applyFont="1" applyBorder="1">
      <alignment/>
      <protection/>
    </xf>
    <xf numFmtId="4" fontId="5" fillId="0" borderId="31" xfId="15" applyNumberFormat="1" applyFont="1" applyBorder="1" applyAlignment="1">
      <alignment horizontal="center"/>
      <protection/>
    </xf>
    <xf numFmtId="4" fontId="5" fillId="0" borderId="37" xfId="15" applyNumberFormat="1" applyFont="1" applyBorder="1" applyAlignment="1">
      <alignment horizontal="center"/>
      <protection/>
    </xf>
    <xf numFmtId="4" fontId="5" fillId="0" borderId="38" xfId="15" applyNumberFormat="1" applyFont="1" applyBorder="1" applyAlignment="1">
      <alignment horizontal="center"/>
      <protection/>
    </xf>
    <xf numFmtId="4" fontId="4" fillId="0" borderId="37" xfId="15" applyNumberFormat="1" applyFont="1" applyBorder="1" applyAlignment="1">
      <alignment horizontal="center"/>
      <protection/>
    </xf>
    <xf numFmtId="4" fontId="4" fillId="0" borderId="38" xfId="15" applyNumberFormat="1" applyFont="1" applyBorder="1" applyAlignment="1">
      <alignment horizontal="center"/>
      <protection/>
    </xf>
    <xf numFmtId="4" fontId="5" fillId="0" borderId="39" xfId="15" applyNumberFormat="1" applyFont="1" applyBorder="1" applyAlignment="1">
      <alignment horizontal="center"/>
      <protection/>
    </xf>
    <xf numFmtId="0" fontId="4" fillId="0" borderId="37" xfId="15" applyFont="1" applyBorder="1" applyAlignment="1">
      <alignment horizontal="center"/>
      <protection/>
    </xf>
    <xf numFmtId="0" fontId="4" fillId="0" borderId="38" xfId="15" applyFont="1" applyBorder="1">
      <alignment/>
      <protection/>
    </xf>
    <xf numFmtId="0" fontId="4" fillId="0" borderId="39" xfId="15" applyFont="1" applyBorder="1">
      <alignment/>
      <protection/>
    </xf>
    <xf numFmtId="0" fontId="5" fillId="0" borderId="40" xfId="15" applyFont="1" applyBorder="1">
      <alignment/>
      <protection/>
    </xf>
    <xf numFmtId="2" fontId="5" fillId="0" borderId="37" xfId="15" applyNumberFormat="1" applyFont="1" applyBorder="1" applyAlignment="1">
      <alignment horizontal="center"/>
      <protection/>
    </xf>
    <xf numFmtId="2" fontId="4" fillId="0" borderId="38" xfId="15" applyNumberFormat="1" applyFont="1" applyBorder="1" applyAlignment="1">
      <alignment horizontal="center"/>
      <protection/>
    </xf>
    <xf numFmtId="2" fontId="5" fillId="0" borderId="38" xfId="15" applyNumberFormat="1" applyFont="1" applyBorder="1" applyAlignment="1">
      <alignment horizontal="center"/>
      <protection/>
    </xf>
    <xf numFmtId="2" fontId="4" fillId="0" borderId="37" xfId="15" applyNumberFormat="1" applyFont="1" applyBorder="1" applyAlignment="1">
      <alignment horizontal="center"/>
      <protection/>
    </xf>
    <xf numFmtId="2" fontId="5" fillId="0" borderId="39" xfId="15" applyNumberFormat="1" applyFont="1" applyBorder="1" applyAlignment="1">
      <alignment horizontal="center"/>
      <protection/>
    </xf>
    <xf numFmtId="2" fontId="5" fillId="0" borderId="29" xfId="15" applyNumberFormat="1" applyFont="1" applyBorder="1" applyAlignment="1">
      <alignment horizontal="center"/>
      <protection/>
    </xf>
    <xf numFmtId="2" fontId="5" fillId="0" borderId="40" xfId="15" applyNumberFormat="1" applyFont="1" applyBorder="1" applyAlignment="1">
      <alignment horizontal="center"/>
      <protection/>
    </xf>
    <xf numFmtId="3" fontId="2" fillId="0" borderId="10" xfId="15" applyNumberFormat="1" applyFont="1" applyFill="1" applyBorder="1" applyAlignment="1">
      <alignment horizontal="center" wrapText="1"/>
      <protection/>
    </xf>
    <xf numFmtId="3" fontId="3" fillId="0" borderId="10" xfId="15" applyNumberFormat="1" applyFont="1" applyBorder="1" applyAlignment="1">
      <alignment horizontal="center"/>
      <protection/>
    </xf>
    <xf numFmtId="4" fontId="4" fillId="0" borderId="0" xfId="15" applyNumberFormat="1" applyFont="1">
      <alignment/>
      <protection/>
    </xf>
    <xf numFmtId="0" fontId="4" fillId="0" borderId="41" xfId="15" applyFont="1" applyBorder="1" applyAlignment="1">
      <alignment horizontal="center"/>
      <protection/>
    </xf>
    <xf numFmtId="0" fontId="4" fillId="0" borderId="42" xfId="15" applyFont="1" applyBorder="1">
      <alignment/>
      <protection/>
    </xf>
    <xf numFmtId="4" fontId="4" fillId="0" borderId="41" xfId="15" applyNumberFormat="1" applyFont="1" applyBorder="1" applyAlignment="1">
      <alignment horizontal="center"/>
      <protection/>
    </xf>
    <xf numFmtId="2" fontId="4" fillId="0" borderId="41" xfId="15" applyNumberFormat="1" applyFont="1" applyBorder="1" applyAlignment="1">
      <alignment horizontal="center"/>
      <protection/>
    </xf>
    <xf numFmtId="2" fontId="4" fillId="0" borderId="11" xfId="15" applyNumberFormat="1" applyFont="1" applyBorder="1" applyAlignment="1">
      <alignment horizontal="center"/>
      <protection/>
    </xf>
    <xf numFmtId="1" fontId="4" fillId="0" borderId="0" xfId="15" applyNumberFormat="1" applyFont="1">
      <alignment/>
      <protection/>
    </xf>
    <xf numFmtId="3" fontId="4" fillId="0" borderId="17" xfId="15" applyNumberFormat="1" applyFont="1" applyBorder="1" applyAlignment="1">
      <alignment horizontal="center"/>
      <protection/>
    </xf>
    <xf numFmtId="4" fontId="4" fillId="0" borderId="17" xfId="15" applyNumberFormat="1" applyFont="1" applyBorder="1" applyAlignment="1">
      <alignment horizontal="center"/>
      <protection/>
    </xf>
    <xf numFmtId="3" fontId="2" fillId="0" borderId="10" xfId="15" applyNumberFormat="1" applyFont="1" applyBorder="1" applyAlignment="1">
      <alignment horizontal="right" vertical="center"/>
      <protection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3" fontId="0" fillId="0" borderId="14" xfId="0" applyNumberFormat="1" applyBorder="1" applyAlignment="1">
      <alignment/>
    </xf>
    <xf numFmtId="0" fontId="0" fillId="0" borderId="37" xfId="0" applyBorder="1" applyAlignment="1">
      <alignment horizontal="center"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37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1" fillId="0" borderId="37" xfId="0" applyNumberFormat="1" applyFont="1" applyBorder="1" applyAlignment="1">
      <alignment horizontal="center"/>
    </xf>
    <xf numFmtId="3" fontId="1" fillId="0" borderId="38" xfId="0" applyNumberFormat="1" applyFont="1" applyBorder="1" applyAlignment="1">
      <alignment horizontal="center"/>
    </xf>
    <xf numFmtId="3" fontId="1" fillId="0" borderId="39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3" fontId="1" fillId="0" borderId="40" xfId="0" applyNumberFormat="1" applyFont="1" applyBorder="1" applyAlignment="1">
      <alignment horizontal="center"/>
    </xf>
    <xf numFmtId="0" fontId="0" fillId="0" borderId="38" xfId="0" applyBorder="1" applyAlignment="1">
      <alignment/>
    </xf>
    <xf numFmtId="4" fontId="0" fillId="0" borderId="37" xfId="0" applyNumberFormat="1" applyBorder="1" applyAlignment="1">
      <alignment horizontal="center"/>
    </xf>
    <xf numFmtId="0" fontId="0" fillId="0" borderId="37" xfId="0" applyBorder="1" applyAlignment="1">
      <alignment/>
    </xf>
    <xf numFmtId="3" fontId="1" fillId="0" borderId="43" xfId="0" applyNumberFormat="1" applyFont="1" applyBorder="1" applyAlignment="1">
      <alignment horizontal="center"/>
    </xf>
    <xf numFmtId="0" fontId="2" fillId="0" borderId="37" xfId="15" applyFont="1" applyBorder="1" applyAlignment="1">
      <alignment horizontal="center" vertical="center" wrapText="1"/>
      <protection/>
    </xf>
    <xf numFmtId="0" fontId="2" fillId="33" borderId="38" xfId="15" applyFont="1" applyFill="1" applyBorder="1" applyAlignment="1">
      <alignment vertical="center" wrapText="1"/>
      <protection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2" fillId="0" borderId="44" xfId="15" applyFont="1" applyBorder="1" applyAlignment="1">
      <alignment horizontal="center" vertical="center" wrapText="1"/>
      <protection/>
    </xf>
    <xf numFmtId="0" fontId="2" fillId="33" borderId="45" xfId="15" applyFont="1" applyFill="1" applyBorder="1" applyAlignment="1">
      <alignment vertical="center" wrapText="1"/>
      <protection/>
    </xf>
    <xf numFmtId="3" fontId="0" fillId="0" borderId="44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3" fontId="0" fillId="0" borderId="45" xfId="0" applyNumberFormat="1" applyBorder="1" applyAlignment="1">
      <alignment vertical="center"/>
    </xf>
    <xf numFmtId="3" fontId="0" fillId="0" borderId="37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38" xfId="0" applyNumberFormat="1" applyBorder="1" applyAlignment="1">
      <alignment vertical="center"/>
    </xf>
    <xf numFmtId="3" fontId="1" fillId="0" borderId="39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3" fontId="1" fillId="0" borderId="4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4" fillId="33" borderId="37" xfId="15" applyFont="1" applyFill="1" applyBorder="1" applyAlignment="1">
      <alignment horizontal="center"/>
      <protection/>
    </xf>
    <xf numFmtId="0" fontId="4" fillId="33" borderId="38" xfId="15" applyFont="1" applyFill="1" applyBorder="1">
      <alignment/>
      <protection/>
    </xf>
    <xf numFmtId="4" fontId="4" fillId="33" borderId="37" xfId="15" applyNumberFormat="1" applyFont="1" applyFill="1" applyBorder="1" applyAlignment="1">
      <alignment horizontal="center"/>
      <protection/>
    </xf>
    <xf numFmtId="4" fontId="4" fillId="33" borderId="10" xfId="15" applyNumberFormat="1" applyFont="1" applyFill="1" applyBorder="1" applyAlignment="1">
      <alignment horizontal="center"/>
      <protection/>
    </xf>
    <xf numFmtId="4" fontId="4" fillId="33" borderId="38" xfId="15" applyNumberFormat="1" applyFont="1" applyFill="1" applyBorder="1" applyAlignment="1">
      <alignment horizontal="center"/>
      <protection/>
    </xf>
    <xf numFmtId="2" fontId="4" fillId="33" borderId="37" xfId="15" applyNumberFormat="1" applyFont="1" applyFill="1" applyBorder="1" applyAlignment="1">
      <alignment horizontal="center"/>
      <protection/>
    </xf>
    <xf numFmtId="2" fontId="4" fillId="33" borderId="10" xfId="15" applyNumberFormat="1" applyFont="1" applyFill="1" applyBorder="1" applyAlignment="1">
      <alignment horizontal="center"/>
      <protection/>
    </xf>
    <xf numFmtId="2" fontId="4" fillId="33" borderId="38" xfId="15" applyNumberFormat="1" applyFont="1" applyFill="1" applyBorder="1" applyAlignment="1">
      <alignment horizontal="center"/>
      <protection/>
    </xf>
    <xf numFmtId="0" fontId="4" fillId="33" borderId="0" xfId="15" applyFont="1" applyFill="1">
      <alignment/>
      <protection/>
    </xf>
    <xf numFmtId="3" fontId="4" fillId="33" borderId="0" xfId="15" applyNumberFormat="1" applyFont="1" applyFill="1">
      <alignment/>
      <protection/>
    </xf>
    <xf numFmtId="2" fontId="4" fillId="33" borderId="0" xfId="15" applyNumberFormat="1" applyFont="1" applyFill="1" applyAlignment="1">
      <alignment horizontal="center"/>
      <protection/>
    </xf>
    <xf numFmtId="4" fontId="2" fillId="0" borderId="0" xfId="15" applyNumberFormat="1" applyFont="1" applyAlignment="1">
      <alignment vertical="center"/>
      <protection/>
    </xf>
    <xf numFmtId="0" fontId="4" fillId="0" borderId="39" xfId="15" applyFont="1" applyBorder="1" applyAlignment="1">
      <alignment horizontal="center" vertical="center"/>
      <protection/>
    </xf>
    <xf numFmtId="0" fontId="4" fillId="0" borderId="40" xfId="15" applyFont="1" applyBorder="1" applyAlignment="1">
      <alignment vertical="center"/>
      <protection/>
    </xf>
    <xf numFmtId="4" fontId="4" fillId="0" borderId="40" xfId="15" applyNumberFormat="1" applyFont="1" applyBorder="1" applyAlignment="1">
      <alignment horizontal="center" vertical="center"/>
      <protection/>
    </xf>
    <xf numFmtId="2" fontId="4" fillId="0" borderId="43" xfId="15" applyNumberFormat="1" applyFont="1" applyBorder="1" applyAlignment="1">
      <alignment horizontal="center" vertical="center"/>
      <protection/>
    </xf>
    <xf numFmtId="2" fontId="4" fillId="0" borderId="46" xfId="15" applyNumberFormat="1" applyFont="1" applyBorder="1" applyAlignment="1">
      <alignment horizontal="center" vertical="center"/>
      <protection/>
    </xf>
    <xf numFmtId="0" fontId="4" fillId="0" borderId="0" xfId="15" applyFont="1" applyAlignment="1">
      <alignment vertical="center"/>
      <protection/>
    </xf>
    <xf numFmtId="3" fontId="4" fillId="0" borderId="0" xfId="15" applyNumberFormat="1" applyFont="1" applyAlignment="1">
      <alignment vertical="center"/>
      <protection/>
    </xf>
    <xf numFmtId="2" fontId="4" fillId="0" borderId="0" xfId="15" applyNumberFormat="1" applyFont="1" applyAlignment="1">
      <alignment horizontal="center" vertical="center"/>
      <protection/>
    </xf>
    <xf numFmtId="0" fontId="4" fillId="0" borderId="37" xfId="15" applyFont="1" applyBorder="1" applyAlignment="1">
      <alignment horizontal="center" vertical="center"/>
      <protection/>
    </xf>
    <xf numFmtId="0" fontId="4" fillId="0" borderId="38" xfId="15" applyFont="1" applyBorder="1" applyAlignment="1">
      <alignment vertical="center"/>
      <protection/>
    </xf>
    <xf numFmtId="4" fontId="4" fillId="0" borderId="37" xfId="15" applyNumberFormat="1" applyFont="1" applyBorder="1" applyAlignment="1">
      <alignment horizontal="center" vertical="center"/>
      <protection/>
    </xf>
    <xf numFmtId="4" fontId="4" fillId="0" borderId="10" xfId="15" applyNumberFormat="1" applyFont="1" applyBorder="1" applyAlignment="1">
      <alignment horizontal="center" vertical="center"/>
      <protection/>
    </xf>
    <xf numFmtId="4" fontId="4" fillId="0" borderId="38" xfId="15" applyNumberFormat="1" applyFont="1" applyBorder="1" applyAlignment="1">
      <alignment horizontal="center" vertical="center"/>
      <protection/>
    </xf>
    <xf numFmtId="2" fontId="4" fillId="0" borderId="37" xfId="15" applyNumberFormat="1" applyFont="1" applyBorder="1" applyAlignment="1">
      <alignment horizontal="center" vertical="center"/>
      <protection/>
    </xf>
    <xf numFmtId="2" fontId="4" fillId="0" borderId="14" xfId="15" applyNumberFormat="1" applyFont="1" applyBorder="1" applyAlignment="1">
      <alignment horizontal="center" vertical="center"/>
      <protection/>
    </xf>
    <xf numFmtId="2" fontId="4" fillId="0" borderId="47" xfId="15" applyNumberFormat="1" applyFont="1" applyBorder="1" applyAlignment="1">
      <alignment horizontal="center" vertical="center"/>
      <protection/>
    </xf>
    <xf numFmtId="4" fontId="4" fillId="0" borderId="37" xfId="15" applyNumberFormat="1" applyFont="1" applyFill="1" applyBorder="1" applyAlignment="1">
      <alignment horizontal="center" vertical="center"/>
      <protection/>
    </xf>
    <xf numFmtId="0" fontId="4" fillId="0" borderId="41" xfId="15" applyFont="1" applyBorder="1" applyAlignment="1">
      <alignment horizontal="center" vertical="center"/>
      <protection/>
    </xf>
    <xf numFmtId="0" fontId="4" fillId="0" borderId="42" xfId="15" applyFont="1" applyBorder="1" applyAlignment="1">
      <alignment vertical="center"/>
      <protection/>
    </xf>
    <xf numFmtId="4" fontId="4" fillId="0" borderId="41" xfId="15" applyNumberFormat="1" applyFont="1" applyBorder="1" applyAlignment="1">
      <alignment horizontal="center" vertical="center"/>
      <protection/>
    </xf>
    <xf numFmtId="0" fontId="4" fillId="0" borderId="11" xfId="15" applyFont="1" applyBorder="1" applyAlignment="1">
      <alignment horizontal="center" vertical="center"/>
      <protection/>
    </xf>
    <xf numFmtId="4" fontId="4" fillId="0" borderId="11" xfId="15" applyNumberFormat="1" applyFont="1" applyBorder="1" applyAlignment="1">
      <alignment horizontal="center" vertical="center"/>
      <protection/>
    </xf>
    <xf numFmtId="4" fontId="4" fillId="0" borderId="42" xfId="15" applyNumberFormat="1" applyFont="1" applyBorder="1" applyAlignment="1">
      <alignment horizontal="center" vertical="center"/>
      <protection/>
    </xf>
    <xf numFmtId="2" fontId="4" fillId="0" borderId="41" xfId="15" applyNumberFormat="1" applyFont="1" applyBorder="1" applyAlignment="1">
      <alignment horizontal="center" vertical="center"/>
      <protection/>
    </xf>
    <xf numFmtId="2" fontId="4" fillId="0" borderId="17" xfId="15" applyNumberFormat="1" applyFont="1" applyBorder="1" applyAlignment="1">
      <alignment horizontal="center" vertical="center"/>
      <protection/>
    </xf>
    <xf numFmtId="2" fontId="4" fillId="0" borderId="48" xfId="15" applyNumberFormat="1" applyFont="1" applyBorder="1" applyAlignment="1">
      <alignment horizontal="center" vertical="center"/>
      <protection/>
    </xf>
    <xf numFmtId="4" fontId="4" fillId="0" borderId="29" xfId="15" applyNumberFormat="1" applyFont="1" applyBorder="1" applyAlignment="1">
      <alignment horizontal="center" vertical="center"/>
      <protection/>
    </xf>
    <xf numFmtId="2" fontId="4" fillId="0" borderId="39" xfId="15" applyNumberFormat="1" applyFont="1" applyBorder="1" applyAlignment="1">
      <alignment horizontal="center" vertical="center"/>
      <protection/>
    </xf>
    <xf numFmtId="0" fontId="4" fillId="0" borderId="40" xfId="15" applyFont="1" applyBorder="1" applyAlignment="1">
      <alignment horizontal="left" vertical="center"/>
      <protection/>
    </xf>
    <xf numFmtId="2" fontId="4" fillId="0" borderId="29" xfId="15" applyNumberFormat="1" applyFont="1" applyBorder="1" applyAlignment="1">
      <alignment horizontal="center" vertical="center"/>
      <protection/>
    </xf>
    <xf numFmtId="187" fontId="4" fillId="0" borderId="0" xfId="15" applyNumberFormat="1" applyFont="1">
      <alignment/>
      <protection/>
    </xf>
    <xf numFmtId="3" fontId="0" fillId="0" borderId="0" xfId="0" applyNumberFormat="1" applyBorder="1" applyAlignment="1">
      <alignment/>
    </xf>
    <xf numFmtId="2" fontId="7" fillId="0" borderId="0" xfId="0" applyNumberFormat="1" applyFont="1" applyBorder="1" applyAlignment="1">
      <alignment vertical="top" wrapText="1"/>
    </xf>
    <xf numFmtId="4" fontId="0" fillId="0" borderId="0" xfId="15" applyNumberFormat="1" applyFont="1" applyFill="1">
      <alignment/>
      <protection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9" xfId="0" applyFont="1" applyBorder="1" applyAlignment="1">
      <alignment vertical="center"/>
    </xf>
    <xf numFmtId="4" fontId="4" fillId="0" borderId="49" xfId="0" applyNumberFormat="1" applyFont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/>
    </xf>
    <xf numFmtId="4" fontId="4" fillId="0" borderId="50" xfId="0" applyNumberFormat="1" applyFont="1" applyBorder="1" applyAlignment="1">
      <alignment horizontal="center" vertical="center"/>
    </xf>
    <xf numFmtId="4" fontId="4" fillId="0" borderId="37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38" xfId="0" applyNumberFormat="1" applyFont="1" applyBorder="1" applyAlignment="1">
      <alignment horizontal="center" vertical="center"/>
    </xf>
    <xf numFmtId="4" fontId="5" fillId="0" borderId="39" xfId="0" applyNumberFormat="1" applyFont="1" applyBorder="1" applyAlignment="1">
      <alignment horizontal="center" vertical="center"/>
    </xf>
    <xf numFmtId="4" fontId="5" fillId="0" borderId="29" xfId="0" applyNumberFormat="1" applyFont="1" applyBorder="1" applyAlignment="1">
      <alignment horizontal="center" vertical="center"/>
    </xf>
    <xf numFmtId="4" fontId="5" fillId="0" borderId="4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4" fontId="4" fillId="0" borderId="4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2" fillId="0" borderId="0" xfId="15" applyNumberFormat="1" applyFont="1">
      <alignment/>
      <protection/>
    </xf>
    <xf numFmtId="0" fontId="2" fillId="0" borderId="14" xfId="15" applyFont="1" applyBorder="1" applyAlignment="1">
      <alignment horizontal="center"/>
      <protection/>
    </xf>
    <xf numFmtId="2" fontId="4" fillId="0" borderId="10" xfId="15" applyNumberFormat="1" applyFont="1" applyBorder="1" applyAlignment="1">
      <alignment vertical="center"/>
      <protection/>
    </xf>
    <xf numFmtId="2" fontId="4" fillId="0" borderId="0" xfId="15" applyNumberFormat="1" applyFont="1" applyAlignment="1">
      <alignment vertical="center"/>
      <protection/>
    </xf>
    <xf numFmtId="0" fontId="12" fillId="0" borderId="0" xfId="15" applyFont="1">
      <alignment/>
      <protection/>
    </xf>
    <xf numFmtId="3" fontId="2" fillId="33" borderId="10" xfId="15" applyNumberFormat="1" applyFont="1" applyFill="1" applyBorder="1">
      <alignment/>
      <protection/>
    </xf>
    <xf numFmtId="4" fontId="4" fillId="0" borderId="0" xfId="0" applyNumberFormat="1" applyFont="1" applyAlignment="1">
      <alignment vertical="center"/>
    </xf>
    <xf numFmtId="3" fontId="2" fillId="0" borderId="10" xfId="15" applyNumberFormat="1" applyFont="1" applyBorder="1" applyAlignment="1">
      <alignment horizontal="right" vertical="center"/>
      <protection/>
    </xf>
    <xf numFmtId="2" fontId="4" fillId="0" borderId="10" xfId="15" applyNumberFormat="1" applyFont="1" applyBorder="1" applyAlignment="1">
      <alignment horizontal="right" vertical="center"/>
      <protection/>
    </xf>
    <xf numFmtId="0" fontId="4" fillId="0" borderId="37" xfId="15" applyFont="1" applyBorder="1" applyAlignment="1">
      <alignment vertical="center"/>
      <protection/>
    </xf>
    <xf numFmtId="2" fontId="4" fillId="0" borderId="38" xfId="15" applyNumberFormat="1" applyFont="1" applyBorder="1" applyAlignment="1">
      <alignment horizontal="center" vertical="center"/>
      <protection/>
    </xf>
    <xf numFmtId="0" fontId="4" fillId="0" borderId="29" xfId="15" applyFont="1" applyBorder="1">
      <alignment/>
      <protection/>
    </xf>
    <xf numFmtId="2" fontId="4" fillId="0" borderId="38" xfId="15" applyNumberFormat="1" applyFont="1" applyBorder="1" applyAlignment="1">
      <alignment vertical="center"/>
      <protection/>
    </xf>
    <xf numFmtId="0" fontId="4" fillId="0" borderId="40" xfId="15" applyFont="1" applyBorder="1" applyAlignment="1">
      <alignment horizontal="center" wrapText="1"/>
      <protection/>
    </xf>
    <xf numFmtId="0" fontId="4" fillId="0" borderId="39" xfId="15" applyFont="1" applyBorder="1" applyAlignment="1">
      <alignment horizontal="center" wrapText="1"/>
      <protection/>
    </xf>
    <xf numFmtId="0" fontId="4" fillId="0" borderId="40" xfId="15" applyFont="1" applyBorder="1">
      <alignment/>
      <protection/>
    </xf>
    <xf numFmtId="4" fontId="4" fillId="0" borderId="0" xfId="15" applyNumberFormat="1" applyFont="1" applyAlignment="1">
      <alignment vertical="center"/>
      <protection/>
    </xf>
    <xf numFmtId="0" fontId="4" fillId="0" borderId="49" xfId="15" applyFont="1" applyBorder="1" applyAlignment="1">
      <alignment vertical="center"/>
      <protection/>
    </xf>
    <xf numFmtId="0" fontId="4" fillId="0" borderId="28" xfId="15" applyFont="1" applyBorder="1" applyAlignment="1">
      <alignment vertical="center"/>
      <protection/>
    </xf>
    <xf numFmtId="2" fontId="4" fillId="0" borderId="28" xfId="15" applyNumberFormat="1" applyFont="1" applyBorder="1" applyAlignment="1">
      <alignment vertical="center"/>
      <protection/>
    </xf>
    <xf numFmtId="0" fontId="4" fillId="0" borderId="50" xfId="15" applyFont="1" applyBorder="1" applyAlignment="1">
      <alignment vertical="center"/>
      <protection/>
    </xf>
    <xf numFmtId="0" fontId="4" fillId="0" borderId="51" xfId="15" applyFont="1" applyBorder="1" applyAlignment="1">
      <alignment vertical="center"/>
      <protection/>
    </xf>
    <xf numFmtId="2" fontId="4" fillId="0" borderId="50" xfId="15" applyNumberFormat="1" applyFont="1" applyBorder="1" applyAlignment="1">
      <alignment horizontal="center" vertical="center"/>
      <protection/>
    </xf>
    <xf numFmtId="0" fontId="4" fillId="0" borderId="43" xfId="15" applyFont="1" applyBorder="1">
      <alignment/>
      <protection/>
    </xf>
    <xf numFmtId="2" fontId="4" fillId="0" borderId="49" xfId="15" applyNumberFormat="1" applyFont="1" applyBorder="1" applyAlignment="1">
      <alignment horizontal="center" vertical="center"/>
      <protection/>
    </xf>
    <xf numFmtId="200" fontId="4" fillId="0" borderId="38" xfId="15" applyNumberFormat="1" applyFont="1" applyBorder="1" applyAlignment="1">
      <alignment horizontal="right" vertical="center"/>
      <protection/>
    </xf>
    <xf numFmtId="0" fontId="4" fillId="0" borderId="52" xfId="15" applyFont="1" applyBorder="1" applyAlignment="1">
      <alignment vertical="center"/>
      <protection/>
    </xf>
    <xf numFmtId="2" fontId="4" fillId="0" borderId="53" xfId="15" applyNumberFormat="1" applyFont="1" applyBorder="1" applyAlignment="1">
      <alignment vertical="center"/>
      <protection/>
    </xf>
    <xf numFmtId="2" fontId="4" fillId="0" borderId="54" xfId="15" applyNumberFormat="1" applyFont="1" applyBorder="1" applyAlignment="1">
      <alignment horizontal="center" vertical="center"/>
      <protection/>
    </xf>
    <xf numFmtId="2" fontId="4" fillId="0" borderId="52" xfId="15" applyNumberFormat="1" applyFont="1" applyBorder="1" applyAlignment="1">
      <alignment horizontal="center" vertical="center"/>
      <protection/>
    </xf>
    <xf numFmtId="0" fontId="4" fillId="0" borderId="53" xfId="15" applyFont="1" applyBorder="1" applyAlignment="1">
      <alignment vertical="center"/>
      <protection/>
    </xf>
    <xf numFmtId="0" fontId="4" fillId="0" borderId="54" xfId="15" applyFont="1" applyBorder="1" applyAlignment="1">
      <alignment vertical="center"/>
      <protection/>
    </xf>
    <xf numFmtId="0" fontId="4" fillId="0" borderId="55" xfId="15" applyFont="1" applyBorder="1" applyAlignment="1">
      <alignment vertical="center"/>
      <protection/>
    </xf>
    <xf numFmtId="2" fontId="4" fillId="0" borderId="37" xfId="15" applyNumberFormat="1" applyFont="1" applyBorder="1" applyAlignment="1">
      <alignment vertical="center"/>
      <protection/>
    </xf>
    <xf numFmtId="2" fontId="4" fillId="0" borderId="50" xfId="15" applyNumberFormat="1" applyFont="1" applyBorder="1" applyAlignment="1">
      <alignment vertical="center"/>
      <protection/>
    </xf>
    <xf numFmtId="2" fontId="4" fillId="0" borderId="28" xfId="15" applyNumberFormat="1" applyFont="1" applyBorder="1" applyAlignment="1">
      <alignment horizontal="right" vertical="center"/>
      <protection/>
    </xf>
    <xf numFmtId="200" fontId="4" fillId="0" borderId="50" xfId="15" applyNumberFormat="1" applyFont="1" applyBorder="1" applyAlignment="1">
      <alignment horizontal="right" vertical="center"/>
      <protection/>
    </xf>
    <xf numFmtId="0" fontId="2" fillId="0" borderId="0" xfId="15" applyFont="1" applyBorder="1" applyAlignment="1">
      <alignment horizontal="center"/>
      <protection/>
    </xf>
    <xf numFmtId="0" fontId="4" fillId="0" borderId="56" xfId="15" applyFont="1" applyBorder="1">
      <alignment/>
      <protection/>
    </xf>
    <xf numFmtId="0" fontId="4" fillId="0" borderId="37" xfId="15" applyFont="1" applyBorder="1">
      <alignment/>
      <protection/>
    </xf>
    <xf numFmtId="3" fontId="4" fillId="0" borderId="38" xfId="15" applyNumberFormat="1" applyFont="1" applyBorder="1">
      <alignment/>
      <protection/>
    </xf>
    <xf numFmtId="2" fontId="3" fillId="0" borderId="10" xfId="15" applyNumberFormat="1" applyFont="1" applyBorder="1" applyAlignment="1">
      <alignment horizontal="center"/>
      <protection/>
    </xf>
    <xf numFmtId="2" fontId="4" fillId="0" borderId="37" xfId="15" applyNumberFormat="1" applyFont="1" applyBorder="1">
      <alignment/>
      <protection/>
    </xf>
    <xf numFmtId="4" fontId="1" fillId="0" borderId="0" xfId="0" applyNumberFormat="1" applyFont="1" applyFill="1" applyBorder="1" applyAlignment="1">
      <alignment vertical="center"/>
    </xf>
    <xf numFmtId="0" fontId="4" fillId="0" borderId="56" xfId="15" applyFont="1" applyBorder="1" applyAlignment="1">
      <alignment vertical="center"/>
      <protection/>
    </xf>
    <xf numFmtId="0" fontId="4" fillId="0" borderId="57" xfId="15" applyFont="1" applyBorder="1">
      <alignment/>
      <protection/>
    </xf>
    <xf numFmtId="2" fontId="4" fillId="0" borderId="58" xfId="15" applyNumberFormat="1" applyFont="1" applyBorder="1">
      <alignment/>
      <protection/>
    </xf>
    <xf numFmtId="2" fontId="4" fillId="0" borderId="57" xfId="15" applyNumberFormat="1" applyFont="1" applyBorder="1" applyAlignment="1">
      <alignment vertical="center"/>
      <protection/>
    </xf>
    <xf numFmtId="0" fontId="4" fillId="0" borderId="57" xfId="15" applyFont="1" applyBorder="1" applyAlignment="1">
      <alignment vertical="center"/>
      <protection/>
    </xf>
    <xf numFmtId="3" fontId="4" fillId="0" borderId="59" xfId="15" applyNumberFormat="1" applyFont="1" applyBorder="1">
      <alignment/>
      <protection/>
    </xf>
    <xf numFmtId="10" fontId="4" fillId="0" borderId="0" xfId="15" applyNumberFormat="1" applyFont="1">
      <alignment/>
      <protection/>
    </xf>
    <xf numFmtId="0" fontId="4" fillId="0" borderId="0" xfId="0" applyFont="1" applyAlignment="1">
      <alignment/>
    </xf>
    <xf numFmtId="17" fontId="4" fillId="0" borderId="60" xfId="0" applyNumberFormat="1" applyFont="1" applyBorder="1" applyAlignment="1">
      <alignment horizontal="left" vertical="center"/>
    </xf>
    <xf numFmtId="17" fontId="4" fillId="0" borderId="56" xfId="0" applyNumberFormat="1" applyFont="1" applyBorder="1" applyAlignment="1">
      <alignment horizontal="left" vertical="center"/>
    </xf>
    <xf numFmtId="0" fontId="4" fillId="0" borderId="61" xfId="15" applyFont="1" applyBorder="1">
      <alignment/>
      <protection/>
    </xf>
    <xf numFmtId="0" fontId="4" fillId="0" borderId="62" xfId="15" applyFont="1" applyBorder="1">
      <alignment/>
      <protection/>
    </xf>
    <xf numFmtId="2" fontId="4" fillId="0" borderId="63" xfId="15" applyNumberFormat="1" applyFont="1" applyBorder="1">
      <alignment/>
      <protection/>
    </xf>
    <xf numFmtId="2" fontId="4" fillId="0" borderId="64" xfId="15" applyNumberFormat="1" applyFont="1" applyBorder="1" applyAlignment="1">
      <alignment horizontal="center" vertical="center"/>
      <protection/>
    </xf>
    <xf numFmtId="2" fontId="4" fillId="0" borderId="62" xfId="15" applyNumberFormat="1" applyFont="1" applyBorder="1" applyAlignment="1">
      <alignment horizontal="center" vertical="center"/>
      <protection/>
    </xf>
    <xf numFmtId="2" fontId="4" fillId="0" borderId="62" xfId="15" applyNumberFormat="1" applyFont="1" applyBorder="1" applyAlignment="1">
      <alignment vertical="center"/>
      <protection/>
    </xf>
    <xf numFmtId="2" fontId="4" fillId="0" borderId="63" xfId="15" applyNumberFormat="1" applyFont="1" applyBorder="1" applyAlignment="1">
      <alignment vertical="center"/>
      <protection/>
    </xf>
    <xf numFmtId="2" fontId="4" fillId="0" borderId="64" xfId="15" applyNumberFormat="1" applyFont="1" applyBorder="1" applyAlignment="1">
      <alignment vertical="center"/>
      <protection/>
    </xf>
    <xf numFmtId="0" fontId="4" fillId="0" borderId="62" xfId="15" applyFont="1" applyBorder="1" applyAlignment="1">
      <alignment vertical="center"/>
      <protection/>
    </xf>
    <xf numFmtId="2" fontId="4" fillId="0" borderId="63" xfId="15" applyNumberFormat="1" applyFont="1" applyBorder="1" applyAlignment="1">
      <alignment horizontal="right" vertical="center"/>
      <protection/>
    </xf>
    <xf numFmtId="3" fontId="4" fillId="0" borderId="64" xfId="15" applyNumberFormat="1" applyFont="1" applyBorder="1">
      <alignment/>
      <protection/>
    </xf>
    <xf numFmtId="17" fontId="5" fillId="0" borderId="65" xfId="0" applyNumberFormat="1" applyFont="1" applyBorder="1" applyAlignment="1">
      <alignment horizontal="left" vertical="center"/>
    </xf>
    <xf numFmtId="0" fontId="5" fillId="0" borderId="65" xfId="0" applyFont="1" applyBorder="1" applyAlignment="1">
      <alignment horizontal="left" vertical="center"/>
    </xf>
    <xf numFmtId="0" fontId="4" fillId="0" borderId="0" xfId="0" applyFont="1" applyFill="1" applyAlignment="1">
      <alignment/>
    </xf>
    <xf numFmtId="0" fontId="5" fillId="0" borderId="0" xfId="15" applyFont="1" applyBorder="1" applyAlignment="1">
      <alignment horizontal="center" vertical="center" wrapText="1"/>
      <protection/>
    </xf>
    <xf numFmtId="0" fontId="4" fillId="0" borderId="10" xfId="15" applyFont="1" applyBorder="1" applyAlignment="1">
      <alignment horizontal="center" vertical="center" wrapText="1"/>
      <protection/>
    </xf>
    <xf numFmtId="0" fontId="4" fillId="33" borderId="10" xfId="15" applyFont="1" applyFill="1" applyBorder="1" applyAlignment="1">
      <alignment vertical="center" wrapText="1"/>
      <protection/>
    </xf>
    <xf numFmtId="3" fontId="4" fillId="0" borderId="14" xfId="15" applyNumberFormat="1" applyFont="1" applyBorder="1" applyAlignment="1">
      <alignment horizontal="center" vertical="center"/>
      <protection/>
    </xf>
    <xf numFmtId="3" fontId="4" fillId="0" borderId="10" xfId="15" applyNumberFormat="1" applyFont="1" applyBorder="1" applyAlignment="1">
      <alignment horizontal="center" vertical="center"/>
      <protection/>
    </xf>
    <xf numFmtId="3" fontId="4" fillId="0" borderId="0" xfId="15" applyNumberFormat="1" applyFont="1" applyBorder="1" applyAlignment="1">
      <alignment horizontal="center" vertical="center"/>
      <protection/>
    </xf>
    <xf numFmtId="3" fontId="4" fillId="0" borderId="0" xfId="0" applyNumberFormat="1" applyFont="1" applyAlignment="1">
      <alignment/>
    </xf>
    <xf numFmtId="0" fontId="4" fillId="33" borderId="10" xfId="15" applyFont="1" applyFill="1" applyBorder="1" applyAlignment="1">
      <alignment horizontal="center" vertical="center" wrapText="1"/>
      <protection/>
    </xf>
    <xf numFmtId="3" fontId="4" fillId="0" borderId="14" xfId="15" applyNumberFormat="1" applyFont="1" applyBorder="1" applyAlignment="1">
      <alignment horizontal="center"/>
      <protection/>
    </xf>
    <xf numFmtId="3" fontId="4" fillId="0" borderId="58" xfId="15" applyNumberFormat="1" applyFont="1" applyBorder="1" applyAlignment="1">
      <alignment horizontal="center" vertical="center"/>
      <protection/>
    </xf>
    <xf numFmtId="3" fontId="4" fillId="33" borderId="10" xfId="15" applyNumberFormat="1" applyFont="1" applyFill="1" applyBorder="1" applyAlignment="1">
      <alignment horizontal="center" vertical="center"/>
      <protection/>
    </xf>
    <xf numFmtId="0" fontId="4" fillId="0" borderId="0" xfId="15" applyFont="1" applyAlignment="1">
      <alignment horizontal="center" vertical="center"/>
      <protection/>
    </xf>
    <xf numFmtId="4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4" xfId="15" applyFont="1" applyBorder="1">
      <alignment/>
      <protection/>
    </xf>
    <xf numFmtId="0" fontId="4" fillId="0" borderId="14" xfId="15" applyFont="1" applyBorder="1" applyAlignment="1">
      <alignment horizontal="center"/>
      <protection/>
    </xf>
    <xf numFmtId="3" fontId="4" fillId="0" borderId="0" xfId="15" applyNumberFormat="1" applyFont="1" applyFill="1">
      <alignment/>
      <protection/>
    </xf>
    <xf numFmtId="3" fontId="4" fillId="0" borderId="0" xfId="0" applyNumberFormat="1" applyFont="1" applyFill="1" applyAlignment="1">
      <alignment/>
    </xf>
    <xf numFmtId="0" fontId="4" fillId="0" borderId="10" xfId="15" applyFont="1" applyBorder="1" applyAlignment="1">
      <alignment/>
      <protection/>
    </xf>
    <xf numFmtId="3" fontId="4" fillId="33" borderId="10" xfId="15" applyNumberFormat="1" applyFont="1" applyFill="1" applyBorder="1" applyAlignment="1" applyProtection="1">
      <alignment horizontal="right" vertical="center"/>
      <protection/>
    </xf>
    <xf numFmtId="3" fontId="4" fillId="0" borderId="10" xfId="15" applyNumberFormat="1" applyFont="1" applyBorder="1" applyAlignment="1">
      <alignment horizontal="right"/>
      <protection/>
    </xf>
    <xf numFmtId="3" fontId="4" fillId="0" borderId="10" xfId="15" applyNumberFormat="1" applyFont="1" applyFill="1" applyBorder="1" applyAlignment="1">
      <alignment horizontal="right"/>
      <protection/>
    </xf>
    <xf numFmtId="3" fontId="5" fillId="0" borderId="10" xfId="15" applyNumberFormat="1" applyFont="1" applyBorder="1" applyAlignment="1">
      <alignment horizontal="right"/>
      <protection/>
    </xf>
    <xf numFmtId="2" fontId="4" fillId="0" borderId="10" xfId="15" applyNumberFormat="1" applyFont="1" applyBorder="1" applyAlignment="1">
      <alignment horizontal="right"/>
      <protection/>
    </xf>
    <xf numFmtId="10" fontId="4" fillId="0" borderId="0" xfId="15" applyNumberFormat="1" applyFont="1" applyBorder="1" applyAlignment="1">
      <alignment horizontal="right"/>
      <protection/>
    </xf>
    <xf numFmtId="10" fontId="4" fillId="0" borderId="0" xfId="15" applyNumberFormat="1" applyFont="1" applyFill="1" applyBorder="1" applyAlignment="1">
      <alignment horizontal="right"/>
      <protection/>
    </xf>
    <xf numFmtId="3" fontId="4" fillId="0" borderId="10" xfId="0" applyNumberFormat="1" applyFont="1" applyBorder="1" applyAlignment="1">
      <alignment horizontal="right"/>
    </xf>
    <xf numFmtId="2" fontId="4" fillId="0" borderId="14" xfId="15" applyNumberFormat="1" applyFont="1" applyBorder="1" applyAlignment="1" quotePrefix="1">
      <alignment horizontal="center"/>
      <protection/>
    </xf>
    <xf numFmtId="0" fontId="2" fillId="0" borderId="11" xfId="15" applyFont="1" applyBorder="1" applyAlignment="1">
      <alignment vertical="center" wrapText="1"/>
      <protection/>
    </xf>
    <xf numFmtId="0" fontId="2" fillId="0" borderId="12" xfId="15" applyFont="1" applyBorder="1" applyAlignment="1">
      <alignment vertical="center"/>
      <protection/>
    </xf>
    <xf numFmtId="0" fontId="2" fillId="0" borderId="12" xfId="15" applyFont="1" applyBorder="1" applyAlignment="1">
      <alignment horizontal="center" vertical="center"/>
      <protection/>
    </xf>
    <xf numFmtId="0" fontId="2" fillId="0" borderId="11" xfId="15" applyFont="1" applyBorder="1" applyAlignment="1">
      <alignment vertical="center"/>
      <protection/>
    </xf>
    <xf numFmtId="0" fontId="2" fillId="0" borderId="0" xfId="15" applyFont="1" applyAlignment="1">
      <alignment horizontal="center" vertical="center"/>
      <protection/>
    </xf>
    <xf numFmtId="2" fontId="4" fillId="0" borderId="49" xfId="15" applyNumberFormat="1" applyFont="1" applyBorder="1" applyAlignment="1">
      <alignment vertical="center"/>
      <protection/>
    </xf>
    <xf numFmtId="3" fontId="2" fillId="0" borderId="10" xfId="15" applyNumberFormat="1" applyFont="1" applyBorder="1" applyAlignment="1" quotePrefix="1">
      <alignment horizontal="center" vertical="center"/>
      <protection/>
    </xf>
    <xf numFmtId="2" fontId="2" fillId="0" borderId="0" xfId="15" applyNumberFormat="1" applyFont="1" applyBorder="1">
      <alignment/>
      <protection/>
    </xf>
    <xf numFmtId="0" fontId="2" fillId="0" borderId="16" xfId="15" applyFont="1" applyBorder="1">
      <alignment/>
      <protection/>
    </xf>
    <xf numFmtId="0" fontId="2" fillId="0" borderId="0" xfId="15" applyFont="1" applyFill="1" applyBorder="1">
      <alignment/>
      <protection/>
    </xf>
    <xf numFmtId="0" fontId="2" fillId="0" borderId="10" xfId="15" applyFont="1" applyFill="1" applyBorder="1" applyAlignment="1">
      <alignment horizontal="center" vertical="center" wrapText="1"/>
      <protection/>
    </xf>
    <xf numFmtId="0" fontId="2" fillId="0" borderId="10" xfId="15" applyFont="1" applyFill="1" applyBorder="1" applyAlignment="1">
      <alignment vertical="center" wrapText="1"/>
      <protection/>
    </xf>
    <xf numFmtId="3" fontId="2" fillId="0" borderId="10" xfId="15" applyNumberFormat="1" applyFont="1" applyFill="1" applyBorder="1" applyAlignment="1">
      <alignment horizontal="right" vertical="center"/>
      <protection/>
    </xf>
    <xf numFmtId="2" fontId="2" fillId="0" borderId="10" xfId="15" applyNumberFormat="1" applyFont="1" applyFill="1" applyBorder="1" applyAlignment="1">
      <alignment horizontal="center" vertical="center"/>
      <protection/>
    </xf>
    <xf numFmtId="2" fontId="2" fillId="0" borderId="10" xfId="15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0" fontId="2" fillId="0" borderId="10" xfId="15" applyFont="1" applyFill="1" applyBorder="1">
      <alignment/>
      <protection/>
    </xf>
    <xf numFmtId="2" fontId="2" fillId="0" borderId="10" xfId="15" applyNumberFormat="1" applyFont="1" applyFill="1" applyBorder="1">
      <alignment/>
      <protection/>
    </xf>
    <xf numFmtId="10" fontId="2" fillId="0" borderId="10" xfId="15" applyNumberFormat="1" applyFont="1" applyFill="1" applyBorder="1" applyAlignment="1">
      <alignment/>
      <protection/>
    </xf>
    <xf numFmtId="3" fontId="2" fillId="0" borderId="10" xfId="15" applyNumberFormat="1" applyFont="1" applyFill="1" applyBorder="1" applyAlignment="1">
      <alignment/>
      <protection/>
    </xf>
    <xf numFmtId="1" fontId="0" fillId="0" borderId="0" xfId="15" applyNumberFormat="1" applyFont="1" applyFill="1">
      <alignment/>
      <protection/>
    </xf>
    <xf numFmtId="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33" borderId="10" xfId="15" applyFont="1" applyFill="1" applyBorder="1">
      <alignment/>
      <protection/>
    </xf>
    <xf numFmtId="0" fontId="4" fillId="0" borderId="37" xfId="15" applyFont="1" applyFill="1" applyBorder="1" applyAlignment="1">
      <alignment horizontal="center" vertical="center"/>
      <protection/>
    </xf>
    <xf numFmtId="0" fontId="4" fillId="0" borderId="38" xfId="15" applyFont="1" applyFill="1" applyBorder="1" applyAlignment="1">
      <alignment vertical="center"/>
      <protection/>
    </xf>
    <xf numFmtId="4" fontId="4" fillId="0" borderId="10" xfId="15" applyNumberFormat="1" applyFont="1" applyFill="1" applyBorder="1" applyAlignment="1">
      <alignment horizontal="center" vertical="center"/>
      <protection/>
    </xf>
    <xf numFmtId="4" fontId="4" fillId="0" borderId="38" xfId="15" applyNumberFormat="1" applyFont="1" applyFill="1" applyBorder="1" applyAlignment="1">
      <alignment horizontal="center" vertical="center"/>
      <protection/>
    </xf>
    <xf numFmtId="2" fontId="4" fillId="0" borderId="37" xfId="15" applyNumberFormat="1" applyFont="1" applyFill="1" applyBorder="1" applyAlignment="1">
      <alignment horizontal="center" vertical="center"/>
      <protection/>
    </xf>
    <xf numFmtId="2" fontId="4" fillId="0" borderId="14" xfId="15" applyNumberFormat="1" applyFont="1" applyFill="1" applyBorder="1" applyAlignment="1">
      <alignment horizontal="center" vertical="center"/>
      <protection/>
    </xf>
    <xf numFmtId="2" fontId="4" fillId="0" borderId="47" xfId="15" applyNumberFormat="1" applyFont="1" applyFill="1" applyBorder="1" applyAlignment="1">
      <alignment horizontal="center" vertical="center"/>
      <protection/>
    </xf>
    <xf numFmtId="0" fontId="4" fillId="0" borderId="0" xfId="15" applyFont="1" applyFill="1" applyAlignment="1">
      <alignment vertical="center"/>
      <protection/>
    </xf>
    <xf numFmtId="3" fontId="4" fillId="0" borderId="0" xfId="15" applyNumberFormat="1" applyFont="1" applyFill="1" applyAlignment="1">
      <alignment vertical="center"/>
      <protection/>
    </xf>
    <xf numFmtId="2" fontId="4" fillId="0" borderId="0" xfId="15" applyNumberFormat="1" applyFont="1" applyFill="1" applyAlignment="1">
      <alignment horizontal="center" vertical="center"/>
      <protection/>
    </xf>
    <xf numFmtId="2" fontId="4" fillId="0" borderId="10" xfId="15" applyNumberFormat="1" applyFont="1" applyFill="1" applyBorder="1" applyAlignment="1">
      <alignment horizontal="center" vertical="center"/>
      <protection/>
    </xf>
    <xf numFmtId="0" fontId="3" fillId="34" borderId="10" xfId="15" applyFont="1" applyFill="1" applyBorder="1" applyAlignment="1">
      <alignment horizontal="center" vertical="center" wrapText="1"/>
      <protection/>
    </xf>
    <xf numFmtId="0" fontId="5" fillId="0" borderId="10" xfId="15" applyFont="1" applyFill="1" applyBorder="1" applyAlignment="1">
      <alignment vertical="center"/>
      <protection/>
    </xf>
    <xf numFmtId="0" fontId="4" fillId="0" borderId="10" xfId="15" applyFont="1" applyFill="1" applyBorder="1" applyAlignment="1">
      <alignment vertical="center"/>
      <protection/>
    </xf>
    <xf numFmtId="0" fontId="0" fillId="0" borderId="10" xfId="0" applyFont="1" applyBorder="1" applyAlignment="1">
      <alignment horizontal="center"/>
    </xf>
    <xf numFmtId="2" fontId="4" fillId="0" borderId="10" xfId="15" applyNumberFormat="1" applyFont="1" applyBorder="1" applyAlignment="1" quotePrefix="1">
      <alignment horizontal="center"/>
      <protection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10" xfId="15" applyFont="1" applyBorder="1" applyAlignment="1">
      <alignment vertical="center" wrapText="1"/>
      <protection/>
    </xf>
    <xf numFmtId="0" fontId="2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10" xfId="15" applyFont="1" applyFill="1" applyBorder="1">
      <alignment/>
      <protection/>
    </xf>
    <xf numFmtId="2" fontId="3" fillId="0" borderId="66" xfId="15" applyNumberFormat="1" applyFont="1" applyBorder="1" applyAlignment="1" quotePrefix="1">
      <alignment horizontal="center"/>
      <protection/>
    </xf>
    <xf numFmtId="2" fontId="3" fillId="0" borderId="67" xfId="15" applyNumberFormat="1" applyFont="1" applyBorder="1" applyAlignment="1" quotePrefix="1">
      <alignment horizontal="center"/>
      <protection/>
    </xf>
    <xf numFmtId="2" fontId="2" fillId="0" borderId="0" xfId="15" applyNumberFormat="1" applyFont="1" applyBorder="1" applyAlignment="1" quotePrefix="1">
      <alignment horizontal="center"/>
      <protection/>
    </xf>
    <xf numFmtId="0" fontId="2" fillId="0" borderId="16" xfId="15" applyFont="1" applyBorder="1" applyAlignment="1">
      <alignment/>
      <protection/>
    </xf>
    <xf numFmtId="2" fontId="1" fillId="0" borderId="10" xfId="15" applyNumberFormat="1" applyFont="1" applyBorder="1" applyAlignment="1" quotePrefix="1">
      <alignment horizontal="center"/>
      <protection/>
    </xf>
    <xf numFmtId="0" fontId="5" fillId="0" borderId="0" xfId="0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justify" vertical="center"/>
    </xf>
    <xf numFmtId="0" fontId="10" fillId="0" borderId="0" xfId="54" applyAlignment="1" applyProtection="1" quotePrefix="1">
      <alignment/>
      <protection/>
    </xf>
    <xf numFmtId="0" fontId="10" fillId="0" borderId="10" xfId="54" applyBorder="1" applyAlignment="1" applyProtection="1">
      <alignment vertical="center"/>
      <protection/>
    </xf>
    <xf numFmtId="1" fontId="2" fillId="0" borderId="0" xfId="15" applyNumberFormat="1" applyFont="1">
      <alignment/>
      <protection/>
    </xf>
    <xf numFmtId="3" fontId="4" fillId="0" borderId="10" xfId="15" applyNumberFormat="1" applyFont="1" applyBorder="1" applyAlignment="1">
      <alignment horizontal="center" vertical="center" wrapText="1"/>
      <protection/>
    </xf>
    <xf numFmtId="0" fontId="2" fillId="0" borderId="10" xfId="15" applyFont="1" applyFill="1" applyBorder="1" applyAlignment="1">
      <alignment horizontal="center"/>
      <protection/>
    </xf>
    <xf numFmtId="2" fontId="4" fillId="0" borderId="14" xfId="15" applyNumberFormat="1" applyFont="1" applyFill="1" applyBorder="1" applyAlignment="1">
      <alignment horizontal="center"/>
      <protection/>
    </xf>
    <xf numFmtId="3" fontId="2" fillId="0" borderId="0" xfId="15" applyNumberFormat="1" applyFont="1" applyAlignment="1">
      <alignment vertical="center"/>
      <protection/>
    </xf>
    <xf numFmtId="4" fontId="2" fillId="0" borderId="0" xfId="15" applyNumberFormat="1" applyFont="1" applyBorder="1">
      <alignment/>
      <protection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/>
    </xf>
    <xf numFmtId="2" fontId="4" fillId="8" borderId="10" xfId="0" applyNumberFormat="1" applyFont="1" applyFill="1" applyBorder="1" applyAlignment="1">
      <alignment horizontal="center" vertical="center"/>
    </xf>
    <xf numFmtId="2" fontId="5" fillId="8" borderId="29" xfId="0" applyNumberFormat="1" applyFont="1" applyFill="1" applyBorder="1" applyAlignment="1">
      <alignment horizontal="center" vertical="center"/>
    </xf>
    <xf numFmtId="3" fontId="3" fillId="0" borderId="10" xfId="15" applyNumberFormat="1" applyFont="1" applyBorder="1" applyAlignment="1">
      <alignment horizontal="center" wrapText="1"/>
      <protection/>
    </xf>
    <xf numFmtId="2" fontId="4" fillId="8" borderId="28" xfId="0" applyNumberFormat="1" applyFont="1" applyFill="1" applyBorder="1" applyAlignment="1">
      <alignment horizontal="center" vertical="center"/>
    </xf>
    <xf numFmtId="2" fontId="4" fillId="8" borderId="50" xfId="0" applyNumberFormat="1" applyFont="1" applyFill="1" applyBorder="1" applyAlignment="1">
      <alignment horizontal="center" vertical="center"/>
    </xf>
    <xf numFmtId="2" fontId="4" fillId="8" borderId="38" xfId="0" applyNumberFormat="1" applyFont="1" applyFill="1" applyBorder="1" applyAlignment="1">
      <alignment horizontal="center" vertical="center"/>
    </xf>
    <xf numFmtId="2" fontId="4" fillId="8" borderId="11" xfId="0" applyNumberFormat="1" applyFont="1" applyFill="1" applyBorder="1" applyAlignment="1">
      <alignment horizontal="center" vertical="center"/>
    </xf>
    <xf numFmtId="2" fontId="4" fillId="8" borderId="42" xfId="0" applyNumberFormat="1" applyFont="1" applyFill="1" applyBorder="1" applyAlignment="1">
      <alignment horizontal="center" vertical="center"/>
    </xf>
    <xf numFmtId="2" fontId="13" fillId="8" borderId="40" xfId="0" applyNumberFormat="1" applyFont="1" applyFill="1" applyBorder="1" applyAlignment="1">
      <alignment horizontal="center" vertical="center"/>
    </xf>
    <xf numFmtId="2" fontId="4" fillId="8" borderId="49" xfId="0" applyNumberFormat="1" applyFont="1" applyFill="1" applyBorder="1" applyAlignment="1">
      <alignment horizontal="center" vertical="center"/>
    </xf>
    <xf numFmtId="2" fontId="4" fillId="8" borderId="37" xfId="0" applyNumberFormat="1" applyFont="1" applyFill="1" applyBorder="1" applyAlignment="1">
      <alignment horizontal="center" vertical="center"/>
    </xf>
    <xf numFmtId="2" fontId="4" fillId="8" borderId="41" xfId="0" applyNumberFormat="1" applyFont="1" applyFill="1" applyBorder="1" applyAlignment="1">
      <alignment horizontal="center" vertical="center"/>
    </xf>
    <xf numFmtId="2" fontId="5" fillId="8" borderId="39" xfId="0" applyNumberFormat="1" applyFont="1" applyFill="1" applyBorder="1" applyAlignment="1">
      <alignment horizontal="center" vertical="center"/>
    </xf>
    <xf numFmtId="2" fontId="5" fillId="8" borderId="41" xfId="0" applyNumberFormat="1" applyFont="1" applyFill="1" applyBorder="1" applyAlignment="1">
      <alignment horizontal="center" vertical="center"/>
    </xf>
    <xf numFmtId="2" fontId="5" fillId="8" borderId="11" xfId="0" applyNumberFormat="1" applyFont="1" applyFill="1" applyBorder="1" applyAlignment="1">
      <alignment horizontal="center" vertical="center"/>
    </xf>
    <xf numFmtId="2" fontId="13" fillId="8" borderId="42" xfId="0" applyNumberFormat="1" applyFont="1" applyFill="1" applyBorder="1" applyAlignment="1">
      <alignment horizontal="center" vertical="center"/>
    </xf>
    <xf numFmtId="17" fontId="4" fillId="0" borderId="68" xfId="0" applyNumberFormat="1" applyFont="1" applyBorder="1" applyAlignment="1">
      <alignment horizontal="left" vertical="center"/>
    </xf>
    <xf numFmtId="4" fontId="4" fillId="0" borderId="42" xfId="0" applyNumberFormat="1" applyFont="1" applyBorder="1" applyAlignment="1">
      <alignment horizontal="center" vertical="center"/>
    </xf>
    <xf numFmtId="188" fontId="4" fillId="0" borderId="10" xfId="15" applyNumberFormat="1" applyFont="1" applyBorder="1" applyAlignment="1">
      <alignment vertical="center"/>
      <protection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38" xfId="0" applyNumberFormat="1" applyFont="1" applyFill="1" applyBorder="1" applyAlignment="1">
      <alignment horizontal="center" vertical="center"/>
    </xf>
    <xf numFmtId="0" fontId="2" fillId="35" borderId="10" xfId="15" applyFont="1" applyFill="1" applyBorder="1">
      <alignment/>
      <protection/>
    </xf>
    <xf numFmtId="3" fontId="0" fillId="0" borderId="10" xfId="15" applyNumberFormat="1" applyFont="1" applyFill="1" applyBorder="1">
      <alignment/>
      <protection/>
    </xf>
    <xf numFmtId="0" fontId="2" fillId="35" borderId="0" xfId="15" applyFont="1" applyFill="1">
      <alignment/>
      <protection/>
    </xf>
    <xf numFmtId="0" fontId="2" fillId="33" borderId="0" xfId="15" applyFont="1" applyFill="1" applyBorder="1" applyAlignment="1">
      <alignment vertical="center" wrapText="1"/>
      <protection/>
    </xf>
    <xf numFmtId="3" fontId="4" fillId="0" borderId="0" xfId="15" applyNumberFormat="1" applyFont="1" applyFill="1" applyBorder="1" applyAlignment="1">
      <alignment horizontal="right"/>
      <protection/>
    </xf>
    <xf numFmtId="2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" fontId="0" fillId="0" borderId="0" xfId="15" applyNumberFormat="1" applyFont="1" applyBorder="1" applyAlignment="1" quotePrefix="1">
      <alignment horizontal="center"/>
      <protection/>
    </xf>
    <xf numFmtId="0" fontId="4" fillId="0" borderId="0" xfId="0" applyFont="1" applyAlignment="1">
      <alignment horizontal="center" vertical="center"/>
    </xf>
    <xf numFmtId="1" fontId="17" fillId="0" borderId="0" xfId="15" applyNumberFormat="1" applyFont="1">
      <alignment/>
      <protection/>
    </xf>
    <xf numFmtId="3" fontId="2" fillId="0" borderId="0" xfId="0" applyNumberFormat="1" applyFont="1" applyAlignment="1">
      <alignment/>
    </xf>
    <xf numFmtId="3" fontId="0" fillId="0" borderId="10" xfId="15" applyNumberFormat="1" applyFont="1" applyBorder="1">
      <alignment/>
      <protection/>
    </xf>
    <xf numFmtId="2" fontId="4" fillId="0" borderId="37" xfId="0" applyNumberFormat="1" applyFont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1" xfId="15" applyNumberFormat="1" applyFont="1" applyBorder="1" applyAlignment="1">
      <alignment horizontal="right" vertical="center"/>
      <protection/>
    </xf>
    <xf numFmtId="200" fontId="4" fillId="0" borderId="42" xfId="15" applyNumberFormat="1" applyFont="1" applyBorder="1" applyAlignment="1">
      <alignment horizontal="right" vertical="center"/>
      <protection/>
    </xf>
    <xf numFmtId="3" fontId="2" fillId="0" borderId="10" xfId="0" applyNumberFormat="1" applyFont="1" applyBorder="1" applyAlignment="1">
      <alignment horizontal="right"/>
    </xf>
    <xf numFmtId="4" fontId="3" fillId="0" borderId="0" xfId="15" applyNumberFormat="1" applyFont="1" applyBorder="1">
      <alignment/>
      <protection/>
    </xf>
    <xf numFmtId="4" fontId="3" fillId="0" borderId="69" xfId="15" applyNumberFormat="1" applyFont="1" applyBorder="1">
      <alignment/>
      <protection/>
    </xf>
    <xf numFmtId="2" fontId="4" fillId="0" borderId="4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" fontId="2" fillId="35" borderId="10" xfId="15" applyNumberFormat="1" applyFont="1" applyFill="1" applyBorder="1">
      <alignment/>
      <protection/>
    </xf>
    <xf numFmtId="1" fontId="2" fillId="0" borderId="10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4" fontId="4" fillId="0" borderId="12" xfId="15" applyNumberFormat="1" applyFont="1" applyBorder="1" applyAlignment="1">
      <alignment horizontal="center" vertical="center"/>
      <protection/>
    </xf>
    <xf numFmtId="0" fontId="5" fillId="0" borderId="70" xfId="15" applyFont="1" applyBorder="1" applyAlignment="1">
      <alignment horizontal="center" vertical="center" wrapText="1"/>
      <protection/>
    </xf>
    <xf numFmtId="0" fontId="5" fillId="0" borderId="71" xfId="15" applyFont="1" applyBorder="1" applyAlignment="1">
      <alignment horizontal="center" vertical="center" wrapText="1"/>
      <protection/>
    </xf>
    <xf numFmtId="0" fontId="5" fillId="0" borderId="13" xfId="15" applyFont="1" applyBorder="1" applyAlignment="1">
      <alignment horizontal="center" vertical="center" wrapText="1"/>
      <protection/>
    </xf>
    <xf numFmtId="0" fontId="4" fillId="0" borderId="72" xfId="15" applyFont="1" applyBorder="1" applyAlignment="1">
      <alignment horizontal="center" vertical="center"/>
      <protection/>
    </xf>
    <xf numFmtId="0" fontId="4" fillId="0" borderId="73" xfId="15" applyFont="1" applyBorder="1" applyAlignment="1">
      <alignment vertical="center"/>
      <protection/>
    </xf>
    <xf numFmtId="0" fontId="4" fillId="0" borderId="73" xfId="15" applyFont="1" applyFill="1" applyBorder="1" applyAlignment="1">
      <alignment vertical="center"/>
      <protection/>
    </xf>
    <xf numFmtId="0" fontId="4" fillId="0" borderId="74" xfId="15" applyFont="1" applyBorder="1" applyAlignment="1">
      <alignment vertical="center"/>
      <protection/>
    </xf>
    <xf numFmtId="0" fontId="4" fillId="0" borderId="75" xfId="15" applyFont="1" applyBorder="1" applyAlignment="1">
      <alignment horizontal="left" vertical="center"/>
      <protection/>
    </xf>
    <xf numFmtId="0" fontId="0" fillId="0" borderId="49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3" fontId="0" fillId="0" borderId="37" xfId="0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38" xfId="0" applyNumberFormat="1" applyFill="1" applyBorder="1" applyAlignment="1">
      <alignment horizontal="center"/>
    </xf>
    <xf numFmtId="3" fontId="0" fillId="0" borderId="37" xfId="0" applyNumberFormat="1" applyFill="1" applyBorder="1" applyAlignment="1">
      <alignment horizontal="center"/>
    </xf>
    <xf numFmtId="4" fontId="0" fillId="0" borderId="37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0" fillId="0" borderId="38" xfId="0" applyNumberFormat="1" applyFill="1" applyBorder="1" applyAlignment="1">
      <alignment horizontal="center"/>
    </xf>
    <xf numFmtId="4" fontId="0" fillId="0" borderId="38" xfId="0" applyNumberFormat="1" applyFill="1" applyBorder="1" applyAlignment="1" quotePrefix="1">
      <alignment horizontal="center"/>
    </xf>
    <xf numFmtId="3" fontId="17" fillId="0" borderId="10" xfId="0" applyNumberFormat="1" applyFont="1" applyFill="1" applyBorder="1" applyAlignment="1">
      <alignment horizontal="center"/>
    </xf>
    <xf numFmtId="4" fontId="0" fillId="0" borderId="38" xfId="0" applyNumberFormat="1" applyFont="1" applyFill="1" applyBorder="1" applyAlignment="1" quotePrefix="1">
      <alignment horizontal="center"/>
    </xf>
    <xf numFmtId="3" fontId="14" fillId="0" borderId="10" xfId="0" applyNumberFormat="1" applyFont="1" applyFill="1" applyBorder="1" applyAlignment="1">
      <alignment horizontal="center"/>
    </xf>
    <xf numFmtId="3" fontId="19" fillId="0" borderId="37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9" fillId="0" borderId="10" xfId="0" applyNumberFormat="1" applyFont="1" applyFill="1" applyBorder="1" applyAlignment="1">
      <alignment horizontal="center"/>
    </xf>
    <xf numFmtId="3" fontId="1" fillId="0" borderId="38" xfId="0" applyNumberFormat="1" applyFont="1" applyFill="1" applyBorder="1" applyAlignment="1">
      <alignment horizontal="center"/>
    </xf>
    <xf numFmtId="3" fontId="1" fillId="0" borderId="37" xfId="0" applyNumberFormat="1" applyFont="1" applyFill="1" applyBorder="1" applyAlignment="1">
      <alignment horizontal="center"/>
    </xf>
    <xf numFmtId="3" fontId="18" fillId="0" borderId="10" xfId="0" applyNumberFormat="1" applyFont="1" applyFill="1" applyBorder="1" applyAlignment="1">
      <alignment horizontal="center"/>
    </xf>
    <xf numFmtId="3" fontId="19" fillId="0" borderId="39" xfId="0" applyNumberFormat="1" applyFont="1" applyFill="1" applyBorder="1" applyAlignment="1">
      <alignment horizontal="center"/>
    </xf>
    <xf numFmtId="3" fontId="1" fillId="0" borderId="29" xfId="0" applyNumberFormat="1" applyFont="1" applyFill="1" applyBorder="1" applyAlignment="1">
      <alignment horizontal="center"/>
    </xf>
    <xf numFmtId="3" fontId="19" fillId="0" borderId="29" xfId="0" applyNumberFormat="1" applyFont="1" applyFill="1" applyBorder="1" applyAlignment="1">
      <alignment horizontal="center"/>
    </xf>
    <xf numFmtId="3" fontId="1" fillId="0" borderId="40" xfId="0" applyNumberFormat="1" applyFont="1" applyFill="1" applyBorder="1" applyAlignment="1">
      <alignment horizontal="center"/>
    </xf>
    <xf numFmtId="3" fontId="1" fillId="0" borderId="39" xfId="0" applyNumberFormat="1" applyFont="1" applyFill="1" applyBorder="1" applyAlignment="1">
      <alignment horizontal="center"/>
    </xf>
    <xf numFmtId="3" fontId="18" fillId="0" borderId="29" xfId="0" applyNumberFormat="1" applyFont="1" applyFill="1" applyBorder="1" applyAlignment="1">
      <alignment horizontal="center"/>
    </xf>
    <xf numFmtId="4" fontId="0" fillId="0" borderId="40" xfId="0" applyNumberFormat="1" applyFill="1" applyBorder="1" applyAlignment="1" quotePrefix="1">
      <alignment horizontal="center"/>
    </xf>
    <xf numFmtId="0" fontId="0" fillId="0" borderId="29" xfId="0" applyFill="1" applyBorder="1" applyAlignment="1">
      <alignment/>
    </xf>
    <xf numFmtId="0" fontId="22" fillId="0" borderId="0" xfId="15" applyFont="1">
      <alignment/>
      <protection/>
    </xf>
    <xf numFmtId="3" fontId="22" fillId="0" borderId="0" xfId="15" applyNumberFormat="1" applyFont="1">
      <alignment/>
      <protection/>
    </xf>
    <xf numFmtId="0" fontId="13" fillId="0" borderId="0" xfId="15" applyFont="1">
      <alignment/>
      <protection/>
    </xf>
    <xf numFmtId="2" fontId="4" fillId="8" borderId="29" xfId="0" applyNumberFormat="1" applyFont="1" applyFill="1" applyBorder="1" applyAlignment="1">
      <alignment horizontal="center" vertical="center"/>
    </xf>
    <xf numFmtId="2" fontId="4" fillId="8" borderId="40" xfId="0" applyNumberFormat="1" applyFont="1" applyFill="1" applyBorder="1" applyAlignment="1">
      <alignment horizontal="center" vertical="center"/>
    </xf>
    <xf numFmtId="0" fontId="22" fillId="0" borderId="0" xfId="15" applyFont="1" applyAlignment="1">
      <alignment horizontal="center" wrapText="1"/>
      <protection/>
    </xf>
    <xf numFmtId="2" fontId="2" fillId="0" borderId="0" xfId="15" applyNumberFormat="1" applyFont="1" applyAlignment="1">
      <alignment/>
      <protection/>
    </xf>
    <xf numFmtId="0" fontId="0" fillId="0" borderId="76" xfId="0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3" fontId="1" fillId="0" borderId="77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4" fontId="0" fillId="0" borderId="10" xfId="0" applyNumberFormat="1" applyFill="1" applyBorder="1" applyAlignment="1" quotePrefix="1">
      <alignment horizontal="center"/>
    </xf>
    <xf numFmtId="4" fontId="0" fillId="0" borderId="37" xfId="0" applyNumberFormat="1" applyFill="1" applyBorder="1" applyAlignment="1" quotePrefix="1">
      <alignment horizontal="center"/>
    </xf>
    <xf numFmtId="4" fontId="0" fillId="0" borderId="39" xfId="0" applyNumberFormat="1" applyFill="1" applyBorder="1" applyAlignment="1" quotePrefix="1">
      <alignment horizontal="center"/>
    </xf>
    <xf numFmtId="4" fontId="0" fillId="0" borderId="29" xfId="0" applyNumberFormat="1" applyFill="1" applyBorder="1" applyAlignment="1" quotePrefix="1">
      <alignment horizontal="center"/>
    </xf>
    <xf numFmtId="0" fontId="19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6" fillId="0" borderId="12" xfId="15" applyFont="1" applyBorder="1" applyAlignment="1">
      <alignment horizontal="center" vertical="center" wrapText="1"/>
      <protection/>
    </xf>
    <xf numFmtId="0" fontId="6" fillId="0" borderId="13" xfId="15" applyFont="1" applyBorder="1" applyAlignment="1">
      <alignment horizontal="center" vertical="center" wrapText="1"/>
      <protection/>
    </xf>
    <xf numFmtId="0" fontId="6" fillId="0" borderId="14" xfId="15" applyFont="1" applyBorder="1" applyAlignment="1">
      <alignment horizontal="center" vertical="center" wrapText="1"/>
      <protection/>
    </xf>
    <xf numFmtId="0" fontId="1" fillId="0" borderId="10" xfId="15" applyFont="1" applyBorder="1" applyAlignment="1">
      <alignment horizontal="center" vertical="center" wrapText="1"/>
      <protection/>
    </xf>
    <xf numFmtId="0" fontId="1" fillId="0" borderId="11" xfId="15" applyFont="1" applyBorder="1" applyAlignment="1">
      <alignment horizontal="center" vertical="center" wrapText="1"/>
      <protection/>
    </xf>
    <xf numFmtId="0" fontId="1" fillId="0" borderId="31" xfId="15" applyFont="1" applyBorder="1" applyAlignment="1">
      <alignment horizontal="center" vertical="center" wrapText="1"/>
      <protection/>
    </xf>
    <xf numFmtId="0" fontId="1" fillId="0" borderId="12" xfId="15" applyFont="1" applyBorder="1" applyAlignment="1">
      <alignment horizontal="center" vertical="center"/>
      <protection/>
    </xf>
    <xf numFmtId="0" fontId="1" fillId="0" borderId="13" xfId="15" applyFont="1" applyBorder="1" applyAlignment="1">
      <alignment horizontal="center" vertical="center"/>
      <protection/>
    </xf>
    <xf numFmtId="0" fontId="1" fillId="0" borderId="14" xfId="15" applyFont="1" applyBorder="1" applyAlignment="1">
      <alignment horizontal="center" vertical="center"/>
      <protection/>
    </xf>
    <xf numFmtId="0" fontId="3" fillId="0" borderId="12" xfId="15" applyFont="1" applyBorder="1" applyAlignment="1">
      <alignment horizontal="center" vertical="center"/>
      <protection/>
    </xf>
    <xf numFmtId="0" fontId="3" fillId="0" borderId="13" xfId="15" applyFont="1" applyBorder="1" applyAlignment="1">
      <alignment horizontal="center" vertical="center"/>
      <protection/>
    </xf>
    <xf numFmtId="0" fontId="3" fillId="0" borderId="14" xfId="15" applyFont="1" applyBorder="1" applyAlignment="1">
      <alignment horizontal="center" vertical="center"/>
      <protection/>
    </xf>
    <xf numFmtId="0" fontId="3" fillId="0" borderId="10" xfId="15" applyFont="1" applyBorder="1" applyAlignment="1">
      <alignment horizontal="center" vertical="center" wrapText="1"/>
      <protection/>
    </xf>
    <xf numFmtId="0" fontId="3" fillId="0" borderId="10" xfId="15" applyFont="1" applyBorder="1" applyAlignment="1">
      <alignment horizontal="center" vertical="center" wrapText="1"/>
      <protection/>
    </xf>
    <xf numFmtId="0" fontId="3" fillId="0" borderId="17" xfId="15" applyFont="1" applyBorder="1" applyAlignment="1">
      <alignment horizontal="center" vertical="center" wrapText="1"/>
      <protection/>
    </xf>
    <xf numFmtId="0" fontId="3" fillId="0" borderId="78" xfId="15" applyFont="1" applyBorder="1" applyAlignment="1">
      <alignment horizontal="center" vertical="center" wrapText="1"/>
      <protection/>
    </xf>
    <xf numFmtId="0" fontId="5" fillId="0" borderId="12" xfId="15" applyFont="1" applyBorder="1" applyAlignment="1">
      <alignment horizontal="center" vertical="center" wrapText="1"/>
      <protection/>
    </xf>
    <xf numFmtId="0" fontId="5" fillId="0" borderId="14" xfId="15" applyFont="1" applyBorder="1" applyAlignment="1">
      <alignment horizontal="center" vertical="center" wrapText="1"/>
      <protection/>
    </xf>
    <xf numFmtId="0" fontId="5" fillId="0" borderId="12" xfId="15" applyFont="1" applyBorder="1" applyAlignment="1">
      <alignment horizontal="center" wrapText="1"/>
      <protection/>
    </xf>
    <xf numFmtId="0" fontId="5" fillId="0" borderId="14" xfId="15" applyFont="1" applyBorder="1" applyAlignment="1">
      <alignment horizontal="center" wrapText="1"/>
      <protection/>
    </xf>
    <xf numFmtId="0" fontId="5" fillId="0" borderId="50" xfId="15" applyFont="1" applyBorder="1" applyAlignment="1">
      <alignment horizontal="center" vertical="center" wrapText="1"/>
      <protection/>
    </xf>
    <xf numFmtId="0" fontId="5" fillId="0" borderId="79" xfId="15" applyFont="1" applyBorder="1" applyAlignment="1">
      <alignment horizontal="center" vertical="center" wrapText="1"/>
      <protection/>
    </xf>
    <xf numFmtId="0" fontId="5" fillId="0" borderId="49" xfId="15" applyFont="1" applyBorder="1" applyAlignment="1">
      <alignment horizontal="center" vertical="center" wrapText="1"/>
      <protection/>
    </xf>
    <xf numFmtId="0" fontId="5" fillId="0" borderId="44" xfId="15" applyFont="1" applyBorder="1" applyAlignment="1">
      <alignment horizontal="center" vertical="center" wrapText="1"/>
      <protection/>
    </xf>
    <xf numFmtId="0" fontId="5" fillId="0" borderId="37" xfId="15" applyFont="1" applyBorder="1" applyAlignment="1">
      <alignment horizontal="center" vertical="center" wrapText="1"/>
      <protection/>
    </xf>
    <xf numFmtId="0" fontId="5" fillId="0" borderId="80" xfId="15" applyFont="1" applyBorder="1" applyAlignment="1">
      <alignment horizontal="center" vertical="center" wrapText="1"/>
      <protection/>
    </xf>
    <xf numFmtId="0" fontId="5" fillId="0" borderId="81" xfId="15" applyFont="1" applyBorder="1" applyAlignment="1">
      <alignment horizontal="center" vertical="center" wrapText="1"/>
      <protection/>
    </xf>
    <xf numFmtId="0" fontId="5" fillId="0" borderId="82" xfId="15" applyFont="1" applyBorder="1" applyAlignment="1">
      <alignment horizontal="center" vertical="center" wrapText="1"/>
      <protection/>
    </xf>
    <xf numFmtId="0" fontId="5" fillId="0" borderId="38" xfId="15" applyFont="1" applyBorder="1" applyAlignment="1">
      <alignment horizontal="center" vertical="center" wrapText="1"/>
      <protection/>
    </xf>
    <xf numFmtId="0" fontId="5" fillId="0" borderId="10" xfId="15" applyFont="1" applyBorder="1" applyAlignment="1">
      <alignment horizontal="center" vertical="center" wrapText="1"/>
      <protection/>
    </xf>
    <xf numFmtId="0" fontId="0" fillId="0" borderId="38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49" xfId="15" applyFont="1" applyBorder="1" applyAlignment="1">
      <alignment horizontal="center" vertical="center" wrapText="1"/>
      <protection/>
    </xf>
    <xf numFmtId="0" fontId="3" fillId="0" borderId="37" xfId="15" applyFont="1" applyBorder="1" applyAlignment="1">
      <alignment horizontal="center" vertical="center" wrapText="1"/>
      <protection/>
    </xf>
    <xf numFmtId="0" fontId="3" fillId="0" borderId="39" xfId="15" applyFont="1" applyBorder="1" applyAlignment="1">
      <alignment horizontal="center" vertical="center" wrapText="1"/>
      <protection/>
    </xf>
    <xf numFmtId="0" fontId="3" fillId="0" borderId="50" xfId="15" applyFont="1" applyBorder="1" applyAlignment="1">
      <alignment horizontal="center" vertical="center" wrapText="1"/>
      <protection/>
    </xf>
    <xf numFmtId="0" fontId="3" fillId="0" borderId="38" xfId="15" applyFont="1" applyBorder="1" applyAlignment="1">
      <alignment horizontal="center" vertical="center" wrapText="1"/>
      <protection/>
    </xf>
    <xf numFmtId="0" fontId="3" fillId="0" borderId="40" xfId="15" applyFont="1" applyBorder="1" applyAlignment="1">
      <alignment horizontal="center" vertical="center" wrapText="1"/>
      <protection/>
    </xf>
    <xf numFmtId="0" fontId="0" fillId="0" borderId="1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0" xfId="0" applyFont="1" applyBorder="1" applyAlignment="1">
      <alignment horizontal="center" wrapText="1"/>
    </xf>
    <xf numFmtId="0" fontId="0" fillId="0" borderId="81" xfId="0" applyBorder="1" applyAlignment="1">
      <alignment horizontal="center" wrapText="1"/>
    </xf>
    <xf numFmtId="0" fontId="0" fillId="0" borderId="82" xfId="0" applyBorder="1" applyAlignment="1">
      <alignment horizontal="center" wrapText="1"/>
    </xf>
    <xf numFmtId="0" fontId="0" fillId="0" borderId="84" xfId="0" applyBorder="1" applyAlignment="1">
      <alignment horizontal="center" wrapText="1"/>
    </xf>
    <xf numFmtId="0" fontId="0" fillId="0" borderId="71" xfId="0" applyBorder="1" applyAlignment="1">
      <alignment horizontal="center" wrapText="1"/>
    </xf>
    <xf numFmtId="0" fontId="0" fillId="0" borderId="85" xfId="0" applyBorder="1" applyAlignment="1">
      <alignment horizontal="center" wrapText="1"/>
    </xf>
    <xf numFmtId="0" fontId="0" fillId="0" borderId="86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76" xfId="0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3" fillId="0" borderId="11" xfId="15" applyFont="1" applyBorder="1" applyAlignment="1">
      <alignment horizontal="center" wrapText="1"/>
      <protection/>
    </xf>
    <xf numFmtId="0" fontId="3" fillId="0" borderId="31" xfId="15" applyFont="1" applyBorder="1" applyAlignment="1">
      <alignment horizontal="center" wrapText="1"/>
      <protection/>
    </xf>
    <xf numFmtId="0" fontId="3" fillId="0" borderId="11" xfId="15" applyFont="1" applyBorder="1" applyAlignment="1">
      <alignment horizontal="center" wrapText="1"/>
      <protection/>
    </xf>
    <xf numFmtId="0" fontId="1" fillId="0" borderId="10" xfId="15" applyFont="1" applyBorder="1" applyAlignment="1">
      <alignment horizontal="center" wrapText="1"/>
      <protection/>
    </xf>
    <xf numFmtId="0" fontId="1" fillId="0" borderId="11" xfId="15" applyFont="1" applyBorder="1" applyAlignment="1">
      <alignment horizontal="center" wrapText="1"/>
      <protection/>
    </xf>
    <xf numFmtId="0" fontId="1" fillId="0" borderId="31" xfId="15" applyFont="1" applyBorder="1" applyAlignment="1">
      <alignment horizontal="center" wrapText="1"/>
      <protection/>
    </xf>
    <xf numFmtId="0" fontId="1" fillId="0" borderId="10" xfId="15" applyFont="1" applyBorder="1" applyAlignment="1">
      <alignment horizontal="center"/>
      <protection/>
    </xf>
    <xf numFmtId="0" fontId="2" fillId="0" borderId="11" xfId="15" applyFont="1" applyBorder="1" applyAlignment="1">
      <alignment horizontal="center" wrapText="1"/>
      <protection/>
    </xf>
    <xf numFmtId="0" fontId="2" fillId="0" borderId="31" xfId="15" applyFont="1" applyBorder="1" applyAlignment="1">
      <alignment horizontal="center" wrapText="1"/>
      <protection/>
    </xf>
    <xf numFmtId="0" fontId="3" fillId="0" borderId="10" xfId="15" applyFont="1" applyBorder="1" applyAlignment="1">
      <alignment horizontal="center"/>
      <protection/>
    </xf>
    <xf numFmtId="0" fontId="2" fillId="0" borderId="10" xfId="15" applyFont="1" applyBorder="1" applyAlignment="1">
      <alignment horizontal="center"/>
      <protection/>
    </xf>
    <xf numFmtId="0" fontId="3" fillId="0" borderId="10" xfId="15" applyFont="1" applyBorder="1" applyAlignment="1">
      <alignment horizontal="center"/>
      <protection/>
    </xf>
    <xf numFmtId="0" fontId="3" fillId="0" borderId="31" xfId="15" applyFont="1" applyBorder="1" applyAlignment="1">
      <alignment horizontal="center" wrapText="1"/>
      <protection/>
    </xf>
    <xf numFmtId="0" fontId="22" fillId="0" borderId="0" xfId="15" applyFont="1" applyAlignment="1">
      <alignment horizontal="center" wrapText="1"/>
      <protection/>
    </xf>
    <xf numFmtId="0" fontId="3" fillId="0" borderId="11" xfId="15" applyFont="1" applyBorder="1" applyAlignment="1">
      <alignment horizontal="center" vertical="center" wrapText="1"/>
      <protection/>
    </xf>
    <xf numFmtId="0" fontId="3" fillId="0" borderId="58" xfId="15" applyFont="1" applyBorder="1" applyAlignment="1">
      <alignment horizontal="center" vertical="center" wrapText="1"/>
      <protection/>
    </xf>
    <xf numFmtId="0" fontId="3" fillId="0" borderId="31" xfId="15" applyFont="1" applyBorder="1" applyAlignment="1">
      <alignment horizontal="center" vertical="center" wrapText="1"/>
      <protection/>
    </xf>
    <xf numFmtId="0" fontId="2" fillId="0" borderId="58" xfId="15" applyFont="1" applyBorder="1" applyAlignment="1">
      <alignment horizontal="center" wrapText="1"/>
      <protection/>
    </xf>
    <xf numFmtId="0" fontId="2" fillId="0" borderId="11" xfId="15" applyFont="1" applyBorder="1" applyAlignment="1">
      <alignment horizontal="center" wrapText="1"/>
      <protection/>
    </xf>
    <xf numFmtId="0" fontId="2" fillId="0" borderId="31" xfId="15" applyFont="1" applyBorder="1" applyAlignment="1">
      <alignment horizontal="center" wrapText="1"/>
      <protection/>
    </xf>
    <xf numFmtId="0" fontId="2" fillId="0" borderId="11" xfId="15" applyFont="1" applyBorder="1" applyAlignment="1">
      <alignment horizontal="center" vertical="center" wrapText="1"/>
      <protection/>
    </xf>
    <xf numFmtId="0" fontId="2" fillId="0" borderId="31" xfId="15" applyFont="1" applyBorder="1" applyAlignment="1">
      <alignment horizontal="center" vertical="center" wrapText="1"/>
      <protection/>
    </xf>
    <xf numFmtId="0" fontId="2" fillId="0" borderId="10" xfId="15" applyFont="1" applyBorder="1" applyAlignment="1">
      <alignment horizontal="center" vertical="center" wrapText="1"/>
      <protection/>
    </xf>
    <xf numFmtId="0" fontId="2" fillId="0" borderId="10" xfId="15" applyFont="1" applyBorder="1" applyAlignment="1">
      <alignment horizontal="center" vertical="center"/>
      <protection/>
    </xf>
    <xf numFmtId="0" fontId="2" fillId="0" borderId="12" xfId="15" applyFont="1" applyBorder="1" applyAlignment="1">
      <alignment horizontal="center" vertical="center"/>
      <protection/>
    </xf>
    <xf numFmtId="0" fontId="2" fillId="0" borderId="13" xfId="15" applyFont="1" applyBorder="1" applyAlignment="1">
      <alignment horizontal="center" vertical="center"/>
      <protection/>
    </xf>
    <xf numFmtId="0" fontId="2" fillId="0" borderId="14" xfId="15" applyFont="1" applyBorder="1" applyAlignment="1">
      <alignment horizontal="center" vertical="center"/>
      <protection/>
    </xf>
    <xf numFmtId="0" fontId="3" fillId="0" borderId="10" xfId="15" applyFont="1" applyBorder="1" applyAlignment="1">
      <alignment horizontal="center" vertical="center"/>
      <protection/>
    </xf>
    <xf numFmtId="0" fontId="2" fillId="0" borderId="11" xfId="15" applyFont="1" applyBorder="1" applyAlignment="1">
      <alignment horizontal="center" vertical="center" wrapText="1"/>
      <protection/>
    </xf>
    <xf numFmtId="0" fontId="2" fillId="0" borderId="31" xfId="15" applyFont="1" applyBorder="1" applyAlignment="1">
      <alignment horizontal="center" vertical="center" wrapText="1"/>
      <protection/>
    </xf>
    <xf numFmtId="0" fontId="2" fillId="0" borderId="10" xfId="15" applyFont="1" applyBorder="1" applyAlignment="1">
      <alignment horizontal="center" vertical="center"/>
      <protection/>
    </xf>
    <xf numFmtId="0" fontId="5" fillId="0" borderId="10" xfId="15" applyFont="1" applyBorder="1" applyAlignment="1">
      <alignment horizontal="center" vertical="center"/>
      <protection/>
    </xf>
    <xf numFmtId="0" fontId="2" fillId="0" borderId="58" xfId="15" applyFont="1" applyBorder="1" applyAlignment="1">
      <alignment horizontal="center" vertical="center" wrapText="1"/>
      <protection/>
    </xf>
    <xf numFmtId="0" fontId="5" fillId="0" borderId="11" xfId="15" applyFont="1" applyBorder="1" applyAlignment="1">
      <alignment horizontal="center" vertical="center" wrapText="1"/>
      <protection/>
    </xf>
    <xf numFmtId="0" fontId="5" fillId="0" borderId="58" xfId="15" applyFont="1" applyBorder="1" applyAlignment="1">
      <alignment horizontal="center" vertical="center" wrapText="1"/>
      <protection/>
    </xf>
    <xf numFmtId="0" fontId="5" fillId="0" borderId="31" xfId="15" applyFont="1" applyBorder="1" applyAlignment="1">
      <alignment horizontal="center" vertical="center" wrapText="1"/>
      <protection/>
    </xf>
    <xf numFmtId="0" fontId="5" fillId="0" borderId="10" xfId="15" applyFont="1" applyBorder="1" applyAlignment="1">
      <alignment horizontal="center"/>
      <protection/>
    </xf>
    <xf numFmtId="0" fontId="5" fillId="0" borderId="10" xfId="0" applyFont="1" applyBorder="1" applyAlignment="1">
      <alignment horizontal="center"/>
    </xf>
    <xf numFmtId="0" fontId="4" fillId="0" borderId="10" xfId="15" applyFont="1" applyBorder="1" applyAlignment="1">
      <alignment horizontal="center" wrapText="1"/>
      <protection/>
    </xf>
    <xf numFmtId="0" fontId="4" fillId="0" borderId="10" xfId="15" applyFont="1" applyBorder="1" applyAlignment="1">
      <alignment horizontal="center"/>
      <protection/>
    </xf>
    <xf numFmtId="0" fontId="4" fillId="0" borderId="10" xfId="15" applyFont="1" applyFill="1" applyBorder="1" applyAlignment="1">
      <alignment horizontal="center" wrapText="1"/>
      <protection/>
    </xf>
    <xf numFmtId="0" fontId="5" fillId="0" borderId="10" xfId="15" applyFont="1" applyBorder="1" applyAlignment="1">
      <alignment horizontal="center" wrapText="1"/>
      <protection/>
    </xf>
    <xf numFmtId="0" fontId="4" fillId="0" borderId="11" xfId="15" applyFont="1" applyBorder="1" applyAlignment="1">
      <alignment horizontal="center" wrapText="1"/>
      <protection/>
    </xf>
    <xf numFmtId="0" fontId="4" fillId="0" borderId="31" xfId="15" applyFont="1" applyBorder="1" applyAlignment="1">
      <alignment horizontal="center" wrapText="1"/>
      <protection/>
    </xf>
    <xf numFmtId="0" fontId="2" fillId="0" borderId="31" xfId="15" applyFont="1" applyFill="1" applyBorder="1" applyAlignment="1">
      <alignment horizontal="center" vertical="center" wrapText="1"/>
      <protection/>
    </xf>
    <xf numFmtId="0" fontId="2" fillId="0" borderId="10" xfId="15" applyFont="1" applyFill="1" applyBorder="1" applyAlignment="1">
      <alignment horizontal="center" vertical="center" wrapText="1"/>
      <protection/>
    </xf>
    <xf numFmtId="0" fontId="3" fillId="0" borderId="58" xfId="15" applyFont="1" applyFill="1" applyBorder="1" applyAlignment="1">
      <alignment horizontal="center" vertical="center" wrapText="1"/>
      <protection/>
    </xf>
    <xf numFmtId="0" fontId="3" fillId="0" borderId="31" xfId="15" applyFont="1" applyFill="1" applyBorder="1" applyAlignment="1">
      <alignment horizontal="center" vertical="center" wrapText="1"/>
      <protection/>
    </xf>
    <xf numFmtId="0" fontId="2" fillId="0" borderId="10" xfId="15" applyFont="1" applyBorder="1" applyAlignment="1">
      <alignment horizontal="center" vertical="center" wrapText="1"/>
      <protection/>
    </xf>
    <xf numFmtId="0" fontId="3" fillId="0" borderId="31" xfId="15" applyFont="1" applyBorder="1" applyAlignment="1">
      <alignment horizontal="center" vertical="center" wrapText="1"/>
      <protection/>
    </xf>
    <xf numFmtId="0" fontId="1" fillId="0" borderId="58" xfId="15" applyFont="1" applyBorder="1" applyAlignment="1">
      <alignment horizontal="center" wrapText="1"/>
      <protection/>
    </xf>
    <xf numFmtId="0" fontId="3" fillId="0" borderId="10" xfId="15" applyFont="1" applyFill="1" applyBorder="1" applyAlignment="1">
      <alignment horizontal="center" vertical="center" wrapText="1"/>
      <protection/>
    </xf>
    <xf numFmtId="0" fontId="3" fillId="0" borderId="31" xfId="15" applyFont="1" applyFill="1" applyBorder="1" applyAlignment="1">
      <alignment horizontal="center" vertical="center" wrapText="1"/>
      <protection/>
    </xf>
    <xf numFmtId="0" fontId="3" fillId="0" borderId="58" xfId="15" applyFont="1" applyBorder="1" applyAlignment="1">
      <alignment horizontal="center" vertical="center" wrapText="1"/>
      <protection/>
    </xf>
    <xf numFmtId="2" fontId="4" fillId="0" borderId="77" xfId="15" applyNumberFormat="1" applyFont="1" applyBorder="1" applyAlignment="1">
      <alignment horizontal="center" vertical="center"/>
      <protection/>
    </xf>
    <xf numFmtId="2" fontId="4" fillId="0" borderId="43" xfId="15" applyNumberFormat="1" applyFont="1" applyBorder="1" applyAlignment="1">
      <alignment horizontal="center" vertical="center"/>
      <protection/>
    </xf>
    <xf numFmtId="0" fontId="5" fillId="0" borderId="45" xfId="15" applyFont="1" applyBorder="1" applyAlignment="1">
      <alignment horizontal="center" vertical="center" wrapText="1"/>
      <protection/>
    </xf>
    <xf numFmtId="4" fontId="4" fillId="0" borderId="87" xfId="15" applyNumberFormat="1" applyFont="1" applyBorder="1" applyAlignment="1">
      <alignment horizontal="center" vertical="center"/>
      <protection/>
    </xf>
    <xf numFmtId="4" fontId="4" fillId="0" borderId="43" xfId="15" applyNumberFormat="1" applyFont="1" applyBorder="1" applyAlignment="1">
      <alignment horizontal="center" vertical="center"/>
      <protection/>
    </xf>
    <xf numFmtId="4" fontId="4" fillId="0" borderId="77" xfId="15" applyNumberFormat="1" applyFont="1" applyBorder="1" applyAlignment="1">
      <alignment horizontal="center" vertical="center"/>
      <protection/>
    </xf>
    <xf numFmtId="2" fontId="4" fillId="0" borderId="87" xfId="15" applyNumberFormat="1" applyFont="1" applyBorder="1" applyAlignment="1">
      <alignment horizontal="center" vertical="center"/>
      <protection/>
    </xf>
    <xf numFmtId="0" fontId="4" fillId="0" borderId="0" xfId="15" applyFont="1" applyAlignment="1">
      <alignment horizontal="center"/>
      <protection/>
    </xf>
    <xf numFmtId="0" fontId="5" fillId="0" borderId="88" xfId="15" applyFont="1" applyBorder="1" applyAlignment="1">
      <alignment horizontal="center" vertical="center" wrapText="1"/>
      <protection/>
    </xf>
    <xf numFmtId="0" fontId="5" fillId="0" borderId="89" xfId="15" applyFont="1" applyBorder="1" applyAlignment="1">
      <alignment horizontal="center" vertical="center" wrapText="1"/>
      <protection/>
    </xf>
    <xf numFmtId="0" fontId="5" fillId="0" borderId="73" xfId="15" applyFont="1" applyBorder="1" applyAlignment="1">
      <alignment horizontal="center" vertical="center" wrapText="1"/>
      <protection/>
    </xf>
    <xf numFmtId="0" fontId="5" fillId="0" borderId="90" xfId="15" applyFont="1" applyBorder="1" applyAlignment="1">
      <alignment horizontal="center" vertical="center" wrapText="1"/>
      <protection/>
    </xf>
    <xf numFmtId="0" fontId="5" fillId="0" borderId="91" xfId="15" applyFont="1" applyBorder="1" applyAlignment="1">
      <alignment horizontal="center" vertical="center" wrapText="1"/>
      <protection/>
    </xf>
    <xf numFmtId="0" fontId="5" fillId="0" borderId="92" xfId="15" applyFont="1" applyBorder="1" applyAlignment="1">
      <alignment horizontal="center" vertical="center" wrapText="1"/>
      <protection/>
    </xf>
    <xf numFmtId="0" fontId="5" fillId="0" borderId="0" xfId="15" applyFont="1" applyAlignment="1">
      <alignment horizontal="center" wrapText="1"/>
      <protection/>
    </xf>
    <xf numFmtId="0" fontId="5" fillId="0" borderId="15" xfId="15" applyFont="1" applyBorder="1" applyAlignment="1">
      <alignment horizontal="center" vertical="center" wrapText="1"/>
      <protection/>
    </xf>
    <xf numFmtId="0" fontId="5" fillId="0" borderId="16" xfId="15" applyFont="1" applyBorder="1" applyAlignment="1">
      <alignment horizontal="center" vertical="center" wrapText="1"/>
      <protection/>
    </xf>
    <xf numFmtId="0" fontId="5" fillId="0" borderId="17" xfId="15" applyFont="1" applyBorder="1" applyAlignment="1">
      <alignment horizontal="center" vertical="center" wrapText="1"/>
      <protection/>
    </xf>
    <xf numFmtId="0" fontId="5" fillId="0" borderId="71" xfId="15" applyFont="1" applyBorder="1" applyAlignment="1">
      <alignment horizontal="center" vertical="center" wrapText="1"/>
      <protection/>
    </xf>
    <xf numFmtId="0" fontId="5" fillId="0" borderId="78" xfId="15" applyFont="1" applyBorder="1" applyAlignment="1">
      <alignment horizontal="center" vertical="center" wrapText="1"/>
      <protection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0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4" fillId="0" borderId="65" xfId="0" applyFont="1" applyBorder="1" applyAlignment="1">
      <alignment horizontal="left" vertical="center"/>
    </xf>
    <xf numFmtId="0" fontId="4" fillId="0" borderId="4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0" xfId="15" applyFont="1" applyBorder="1" applyAlignment="1">
      <alignment horizontal="center" wrapText="1"/>
      <protection/>
    </xf>
    <xf numFmtId="0" fontId="4" fillId="0" borderId="40" xfId="15" applyFont="1" applyBorder="1" applyAlignment="1">
      <alignment horizontal="center" wrapText="1"/>
      <protection/>
    </xf>
    <xf numFmtId="0" fontId="4" fillId="0" borderId="51" xfId="15" applyFont="1" applyBorder="1" applyAlignment="1">
      <alignment horizontal="center"/>
      <protection/>
    </xf>
    <xf numFmtId="0" fontId="4" fillId="0" borderId="87" xfId="15" applyFont="1" applyBorder="1" applyAlignment="1">
      <alignment horizontal="center"/>
      <protection/>
    </xf>
    <xf numFmtId="0" fontId="4" fillId="0" borderId="49" xfId="15" applyFont="1" applyBorder="1" applyAlignment="1">
      <alignment horizontal="center"/>
      <protection/>
    </xf>
    <xf numFmtId="0" fontId="4" fillId="0" borderId="28" xfId="15" applyFont="1" applyBorder="1" applyAlignment="1">
      <alignment horizontal="center"/>
      <protection/>
    </xf>
    <xf numFmtId="0" fontId="4" fillId="0" borderId="49" xfId="15" applyFont="1" applyBorder="1" applyAlignment="1">
      <alignment horizontal="center" wrapText="1"/>
      <protection/>
    </xf>
    <xf numFmtId="0" fontId="4" fillId="0" borderId="86" xfId="15" applyFont="1" applyBorder="1" applyAlignment="1">
      <alignment horizontal="center"/>
      <protection/>
    </xf>
    <xf numFmtId="0" fontId="4" fillId="0" borderId="50" xfId="15" applyFont="1" applyBorder="1" applyAlignment="1">
      <alignment horizontal="center"/>
      <protection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2" fillId="0" borderId="4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</cellXfs>
  <cellStyles count="51">
    <cellStyle name="Normal" xfId="0"/>
    <cellStyle name="0,0&#13;&#10;NA&#13;&#10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popproj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7"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-0.017"/>
          <c:w val="0.89075"/>
          <c:h val="0.9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'Anne-11'!$C$4</c:f>
              <c:strCache>
                <c:ptCount val="1"/>
                <c:pt idx="0">
                  <c:v>Wireless Subscribers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'Anne-11'!$B$5:$B$17</c:f>
              <c:strCache/>
            </c:strRef>
          </c:cat>
          <c:val>
            <c:numRef>
              <c:f>'Anne-11'!$C$5:$C$17</c:f>
              <c:numCache/>
            </c:numRef>
          </c:val>
        </c:ser>
        <c:ser>
          <c:idx val="1"/>
          <c:order val="1"/>
          <c:tx>
            <c:strRef>
              <c:f>'Anne-11'!$D$4</c:f>
              <c:strCache>
                <c:ptCount val="1"/>
                <c:pt idx="0">
                  <c:v>VLR Subscribers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'Anne-11'!$B$5:$B$17</c:f>
              <c:strCache/>
            </c:strRef>
          </c:cat>
          <c:val>
            <c:numRef>
              <c:f>'Anne-11'!$D$5:$D$17</c:f>
              <c:numCache/>
            </c:numRef>
          </c:val>
        </c:ser>
        <c:axId val="21143520"/>
        <c:axId val="56073953"/>
      </c:barChart>
      <c:lineChart>
        <c:grouping val="standard"/>
        <c:varyColors val="0"/>
        <c:ser>
          <c:idx val="2"/>
          <c:order val="2"/>
          <c:tx>
            <c:strRef>
              <c:f>'Anne-11'!$E$4</c:f>
              <c:strCache>
                <c:ptCount val="1"/>
                <c:pt idx="0">
                  <c:v>% of Active subscribers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'Anne-11'!$B$5:$B$17</c:f>
              <c:strCache/>
            </c:strRef>
          </c:cat>
          <c:val>
            <c:numRef>
              <c:f>'Anne-11'!$E$5:$E$17</c:f>
              <c:numCache/>
            </c:numRef>
          </c:val>
          <c:smooth val="0"/>
        </c:ser>
        <c:axId val="34903530"/>
        <c:axId val="45696315"/>
      </c:lineChart>
      <c:dateAx>
        <c:axId val="21143520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VLR %</a:t>
                </a:r>
              </a:p>
            </c:rich>
          </c:tx>
          <c:layout>
            <c:manualLayout>
              <c:xMode val="factor"/>
              <c:yMode val="factor"/>
              <c:x val="0.1297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07395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6073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Subscribers (in Millions)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143520"/>
        <c:crossesAt val="1"/>
        <c:crossBetween val="between"/>
        <c:dispUnits/>
      </c:valAx>
      <c:dateAx>
        <c:axId val="34903530"/>
        <c:scaling>
          <c:orientation val="minMax"/>
        </c:scaling>
        <c:axPos val="b"/>
        <c:delete val="1"/>
        <c:majorTickMark val="out"/>
        <c:minorTickMark val="none"/>
        <c:tickLblPos val="nextTo"/>
        <c:crossAx val="45696315"/>
        <c:crosses val="autoZero"/>
        <c:auto val="0"/>
        <c:noMultiLvlLbl val="0"/>
      </c:dateAx>
      <c:valAx>
        <c:axId val="45696315"/>
        <c:scaling>
          <c:orientation val="minMax"/>
          <c:max val="120"/>
        </c:scaling>
        <c:axPos val="l"/>
        <c:delete val="0"/>
        <c:numFmt formatCode="0" sourceLinked="0"/>
        <c:majorTickMark val="none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90353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625"/>
          <c:y val="0.0505"/>
          <c:w val="0.1925"/>
          <c:h val="0.1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104775</xdr:colOff>
      <xdr:row>43</xdr:row>
      <xdr:rowOff>19050</xdr:rowOff>
    </xdr:from>
    <xdr:ext cx="190500" cy="257175"/>
    <xdr:sp>
      <xdr:nvSpPr>
        <xdr:cNvPr id="1" name="TextBox 7"/>
        <xdr:cNvSpPr txBox="1">
          <a:spLocks noChangeArrowheads="1"/>
        </xdr:cNvSpPr>
      </xdr:nvSpPr>
      <xdr:spPr>
        <a:xfrm>
          <a:off x="104775" y="77152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2</xdr:row>
      <xdr:rowOff>47625</xdr:rowOff>
    </xdr:from>
    <xdr:to>
      <xdr:col>15</xdr:col>
      <xdr:colOff>781050</xdr:colOff>
      <xdr:row>29</xdr:row>
      <xdr:rowOff>114300</xdr:rowOff>
    </xdr:to>
    <xdr:graphicFrame>
      <xdr:nvGraphicFramePr>
        <xdr:cNvPr id="2" name="Chart 3"/>
        <xdr:cNvGraphicFramePr/>
      </xdr:nvGraphicFramePr>
      <xdr:xfrm>
        <a:off x="0" y="438150"/>
        <a:ext cx="958215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Market%20Share%20Mar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Density"/>
      <sheetName val="opr-31.03.10"/>
      <sheetName val="opr-30.11.09"/>
      <sheetName val="T31.03.10"/>
      <sheetName val="W-Less 31.01.10"/>
      <sheetName val="M31.03.10"/>
      <sheetName val="WLL31.03.10"/>
      <sheetName val="LL31.03.10"/>
      <sheetName val="BSNL mkt share"/>
      <sheetName val="All opr mkt share"/>
      <sheetName val="Urban-Rural Conn"/>
      <sheetName val="Urban-Rural Conn (2)"/>
      <sheetName val="Achi-Con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12.140625" style="0" customWidth="1"/>
    <col min="2" max="2" width="103.00390625" style="0" customWidth="1"/>
  </cols>
  <sheetData>
    <row r="2" spans="1:2" ht="12.75">
      <c r="A2" s="595" t="s">
        <v>231</v>
      </c>
      <c r="B2" s="595"/>
    </row>
    <row r="3" ht="12.75">
      <c r="B3" s="539"/>
    </row>
    <row r="4" spans="1:2" ht="24.75" customHeight="1">
      <c r="A4" s="483" t="s">
        <v>111</v>
      </c>
      <c r="B4" s="481" t="s">
        <v>259</v>
      </c>
    </row>
    <row r="5" spans="1:2" ht="24.75" customHeight="1">
      <c r="A5" s="483" t="s">
        <v>220</v>
      </c>
      <c r="B5" s="481" t="s">
        <v>260</v>
      </c>
    </row>
    <row r="6" spans="1:2" ht="24.75" customHeight="1">
      <c r="A6" s="483" t="s">
        <v>221</v>
      </c>
      <c r="B6" s="481" t="s">
        <v>261</v>
      </c>
    </row>
    <row r="7" spans="1:2" ht="24.75" customHeight="1">
      <c r="A7" s="483" t="s">
        <v>222</v>
      </c>
      <c r="B7" s="481" t="s">
        <v>262</v>
      </c>
    </row>
    <row r="8" spans="1:2" ht="24.75" customHeight="1">
      <c r="A8" s="483" t="s">
        <v>223</v>
      </c>
      <c r="B8" s="481" t="s">
        <v>263</v>
      </c>
    </row>
    <row r="9" spans="1:2" ht="24.75" customHeight="1">
      <c r="A9" s="483" t="s">
        <v>224</v>
      </c>
      <c r="B9" s="481" t="s">
        <v>264</v>
      </c>
    </row>
    <row r="10" spans="1:2" ht="24.75" customHeight="1">
      <c r="A10" s="483" t="s">
        <v>225</v>
      </c>
      <c r="B10" s="481" t="s">
        <v>265</v>
      </c>
    </row>
    <row r="11" spans="1:2" ht="24.75" customHeight="1">
      <c r="A11" s="483" t="s">
        <v>226</v>
      </c>
      <c r="B11" s="481" t="s">
        <v>266</v>
      </c>
    </row>
    <row r="12" spans="1:6" ht="20.25" customHeight="1">
      <c r="A12" s="483" t="s">
        <v>227</v>
      </c>
      <c r="B12" s="481" t="s">
        <v>228</v>
      </c>
      <c r="F12" s="482"/>
    </row>
    <row r="13" spans="1:2" ht="28.5" customHeight="1">
      <c r="A13" s="483" t="s">
        <v>229</v>
      </c>
      <c r="B13" s="481" t="s">
        <v>250</v>
      </c>
    </row>
    <row r="14" spans="1:2" ht="24.75" customHeight="1">
      <c r="A14" s="483" t="s">
        <v>230</v>
      </c>
      <c r="B14" s="481" t="s">
        <v>267</v>
      </c>
    </row>
  </sheetData>
  <sheetProtection/>
  <mergeCells count="1">
    <mergeCell ref="A2:B2"/>
  </mergeCells>
  <hyperlinks>
    <hyperlink ref="A4" location="'Anne-1'!A1" display="Annexure-1"/>
    <hyperlink ref="A5" location="'Anne-2'!A1" display="Annexure-2."/>
    <hyperlink ref="A6" location="'Anne-3'!A1" display=" Annexure-3."/>
    <hyperlink ref="A7" location="'Anne-4'!A1" display="Annexure-4."/>
    <hyperlink ref="A8" location="'Anne-5'!A1" display="Annexure-5."/>
    <hyperlink ref="A9" location="'Anne-6'!A1" display="Annexure-6."/>
    <hyperlink ref="A10" location="'Anne-7'!A1" display="Annexure-7."/>
    <hyperlink ref="A11" location="'Anne-8'!A1" display="Annexure-8."/>
    <hyperlink ref="A12" location="'Anne-9'!A1" display="Annexure-9."/>
    <hyperlink ref="A13" location="'Anne-10'!A1" display="Annexure-10."/>
    <hyperlink ref="A14" location="'Anne-11'!A1" display="Annexure-11.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3"/>
  <sheetViews>
    <sheetView zoomScalePageLayoutView="0" workbookViewId="0" topLeftCell="A1">
      <pane xSplit="3" ySplit="12" topLeftCell="D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Q41" sqref="Q41"/>
    </sheetView>
  </sheetViews>
  <sheetFormatPr defaultColWidth="9.140625" defaultRowHeight="12.75"/>
  <cols>
    <col min="1" max="2" width="5.7109375" style="26" hidden="1" customWidth="1"/>
    <col min="3" max="3" width="12.28125" style="26" customWidth="1"/>
    <col min="4" max="4" width="10.00390625" style="26" customWidth="1"/>
    <col min="5" max="5" width="10.28125" style="26" hidden="1" customWidth="1"/>
    <col min="6" max="6" width="9.28125" style="26" hidden="1" customWidth="1"/>
    <col min="7" max="7" width="10.7109375" style="26" customWidth="1"/>
    <col min="8" max="8" width="10.57421875" style="26" customWidth="1"/>
    <col min="9" max="9" width="9.57421875" style="26" customWidth="1"/>
    <col min="10" max="10" width="10.00390625" style="26" hidden="1" customWidth="1"/>
    <col min="11" max="11" width="8.7109375" style="26" hidden="1" customWidth="1"/>
    <col min="12" max="12" width="11.140625" style="26" customWidth="1"/>
    <col min="13" max="13" width="11.421875" style="26" customWidth="1"/>
    <col min="14" max="14" width="10.28125" style="26" customWidth="1"/>
    <col min="15" max="15" width="7.7109375" style="26" hidden="1" customWidth="1"/>
    <col min="16" max="16" width="8.8515625" style="26" hidden="1" customWidth="1"/>
    <col min="17" max="17" width="10.28125" style="26" customWidth="1"/>
    <col min="18" max="18" width="9.421875" style="26" customWidth="1"/>
    <col min="19" max="19" width="11.140625" style="26" hidden="1" customWidth="1"/>
    <col min="20" max="20" width="13.28125" style="26" customWidth="1"/>
    <col min="21" max="21" width="10.421875" style="26" bestFit="1" customWidth="1"/>
    <col min="22" max="22" width="13.421875" style="26" customWidth="1"/>
    <col min="23" max="27" width="9.140625" style="26" customWidth="1"/>
    <col min="28" max="28" width="12.421875" style="26" customWidth="1"/>
    <col min="29" max="16384" width="9.140625" style="26" customWidth="1"/>
  </cols>
  <sheetData>
    <row r="1" spans="4:10" ht="15.75" hidden="1">
      <c r="D1" s="29" t="str">
        <f>'Anne-8'!B2</f>
        <v>No. 1-2(1)/Market Share/2013-CP&amp;M </v>
      </c>
      <c r="J1" s="29"/>
    </row>
    <row r="2" spans="15:17" ht="15.75">
      <c r="O2" s="29"/>
      <c r="Q2" s="29" t="s">
        <v>253</v>
      </c>
    </row>
    <row r="3" spans="3:18" ht="38.25" customHeight="1" hidden="1">
      <c r="C3" s="735" t="s">
        <v>251</v>
      </c>
      <c r="D3" s="735"/>
      <c r="E3" s="735"/>
      <c r="F3" s="735"/>
      <c r="G3" s="735"/>
      <c r="H3" s="735"/>
      <c r="I3" s="735"/>
      <c r="J3" s="735"/>
      <c r="K3" s="735"/>
      <c r="L3" s="735"/>
      <c r="M3" s="735"/>
      <c r="N3" s="735"/>
      <c r="O3" s="735"/>
      <c r="P3" s="735"/>
      <c r="Q3" s="735"/>
      <c r="R3" s="735"/>
    </row>
    <row r="4" spans="8:13" ht="15.75" thickBot="1">
      <c r="H4" s="74"/>
      <c r="I4" s="74"/>
      <c r="J4" s="74"/>
      <c r="K4" s="74"/>
      <c r="L4" s="74"/>
      <c r="M4" s="74"/>
    </row>
    <row r="5" spans="1:18" ht="33.75" customHeight="1" hidden="1">
      <c r="A5" s="618" t="s">
        <v>62</v>
      </c>
      <c r="B5" s="541"/>
      <c r="C5" s="616" t="s">
        <v>158</v>
      </c>
      <c r="D5" s="621" t="s">
        <v>159</v>
      </c>
      <c r="E5" s="622"/>
      <c r="F5" s="622"/>
      <c r="G5" s="622"/>
      <c r="H5" s="623"/>
      <c r="I5" s="621" t="s">
        <v>160</v>
      </c>
      <c r="J5" s="622"/>
      <c r="K5" s="622"/>
      <c r="L5" s="622"/>
      <c r="M5" s="623"/>
      <c r="N5" s="621" t="s">
        <v>161</v>
      </c>
      <c r="O5" s="622"/>
      <c r="P5" s="622"/>
      <c r="Q5" s="622"/>
      <c r="R5" s="623"/>
    </row>
    <row r="6" spans="1:18" ht="16.5" customHeight="1" hidden="1">
      <c r="A6" s="619"/>
      <c r="B6" s="542"/>
      <c r="C6" s="723"/>
      <c r="D6" s="620" t="s">
        <v>162</v>
      </c>
      <c r="E6" s="625"/>
      <c r="F6" s="625" t="s">
        <v>163</v>
      </c>
      <c r="G6" s="625"/>
      <c r="H6" s="624" t="s">
        <v>70</v>
      </c>
      <c r="I6" s="620" t="s">
        <v>162</v>
      </c>
      <c r="J6" s="625"/>
      <c r="K6" s="625" t="s">
        <v>163</v>
      </c>
      <c r="L6" s="625"/>
      <c r="M6" s="624" t="s">
        <v>70</v>
      </c>
      <c r="N6" s="620" t="s">
        <v>162</v>
      </c>
      <c r="O6" s="625"/>
      <c r="P6" s="625" t="s">
        <v>163</v>
      </c>
      <c r="Q6" s="625"/>
      <c r="R6" s="624" t="s">
        <v>70</v>
      </c>
    </row>
    <row r="7" spans="1:18" ht="22.5" customHeight="1" hidden="1">
      <c r="A7" s="620"/>
      <c r="B7" s="543"/>
      <c r="C7" s="624"/>
      <c r="D7" s="620"/>
      <c r="E7" s="625"/>
      <c r="F7" s="625"/>
      <c r="G7" s="625"/>
      <c r="H7" s="624"/>
      <c r="I7" s="620"/>
      <c r="J7" s="625"/>
      <c r="K7" s="625"/>
      <c r="L7" s="625"/>
      <c r="M7" s="624"/>
      <c r="N7" s="620"/>
      <c r="O7" s="625"/>
      <c r="P7" s="625"/>
      <c r="Q7" s="625"/>
      <c r="R7" s="624"/>
    </row>
    <row r="8" spans="1:29" s="275" customFormat="1" ht="24.75" customHeight="1" hidden="1" thickBot="1">
      <c r="A8" s="270">
        <v>1</v>
      </c>
      <c r="B8" s="544"/>
      <c r="C8" s="271" t="s">
        <v>164</v>
      </c>
      <c r="D8" s="724">
        <v>28.04</v>
      </c>
      <c r="E8" s="725"/>
      <c r="F8" s="726">
        <v>2.62</v>
      </c>
      <c r="G8" s="725"/>
      <c r="H8" s="272">
        <f>SUM(D8:G8)</f>
        <v>30.66</v>
      </c>
      <c r="I8" s="724">
        <v>23.93</v>
      </c>
      <c r="J8" s="725"/>
      <c r="K8" s="726">
        <v>0</v>
      </c>
      <c r="L8" s="725"/>
      <c r="M8" s="272">
        <f>SUM(I8:L8)</f>
        <v>23.93</v>
      </c>
      <c r="N8" s="727">
        <f>I8/D8*100</f>
        <v>85.34236804564908</v>
      </c>
      <c r="O8" s="722"/>
      <c r="P8" s="721">
        <f>K8/F8*100</f>
        <v>0</v>
      </c>
      <c r="Q8" s="722"/>
      <c r="R8" s="274">
        <f>M8/H8*100</f>
        <v>78.04957599478148</v>
      </c>
      <c r="T8" s="276"/>
      <c r="U8" s="277"/>
      <c r="V8" s="277"/>
      <c r="AB8" s="160">
        <v>29.14983</v>
      </c>
      <c r="AC8" s="160">
        <f>AB8/AB14*100</f>
        <v>815.7892380120263</v>
      </c>
    </row>
    <row r="9" ht="15.75" hidden="1" thickBot="1"/>
    <row r="10" spans="1:18" ht="33.75" customHeight="1">
      <c r="A10" s="618" t="s">
        <v>62</v>
      </c>
      <c r="B10" s="732"/>
      <c r="C10" s="729" t="s">
        <v>252</v>
      </c>
      <c r="D10" s="621" t="s">
        <v>255</v>
      </c>
      <c r="E10" s="622"/>
      <c r="F10" s="622"/>
      <c r="G10" s="622"/>
      <c r="H10" s="623"/>
      <c r="I10" s="621" t="s">
        <v>254</v>
      </c>
      <c r="J10" s="622"/>
      <c r="K10" s="622"/>
      <c r="L10" s="622"/>
      <c r="M10" s="623"/>
      <c r="N10" s="621" t="s">
        <v>161</v>
      </c>
      <c r="O10" s="622"/>
      <c r="P10" s="622"/>
      <c r="Q10" s="622"/>
      <c r="R10" s="623"/>
    </row>
    <row r="11" spans="1:18" ht="16.5" customHeight="1">
      <c r="A11" s="619"/>
      <c r="B11" s="733"/>
      <c r="C11" s="730"/>
      <c r="D11" s="620" t="s">
        <v>143</v>
      </c>
      <c r="E11" s="736" t="s">
        <v>141</v>
      </c>
      <c r="F11" s="737"/>
      <c r="G11" s="738"/>
      <c r="H11" s="624" t="s">
        <v>70</v>
      </c>
      <c r="I11" s="620" t="s">
        <v>143</v>
      </c>
      <c r="J11" s="736" t="s">
        <v>141</v>
      </c>
      <c r="K11" s="737"/>
      <c r="L11" s="738"/>
      <c r="M11" s="624" t="s">
        <v>70</v>
      </c>
      <c r="N11" s="620" t="s">
        <v>143</v>
      </c>
      <c r="O11" s="736" t="s">
        <v>141</v>
      </c>
      <c r="P11" s="737"/>
      <c r="Q11" s="738"/>
      <c r="R11" s="624" t="s">
        <v>70</v>
      </c>
    </row>
    <row r="12" spans="1:18" ht="21" customHeight="1">
      <c r="A12" s="620"/>
      <c r="B12" s="733"/>
      <c r="C12" s="731"/>
      <c r="D12" s="620"/>
      <c r="E12" s="617"/>
      <c r="F12" s="739"/>
      <c r="G12" s="740"/>
      <c r="H12" s="624"/>
      <c r="I12" s="620"/>
      <c r="J12" s="617"/>
      <c r="K12" s="739"/>
      <c r="L12" s="740"/>
      <c r="M12" s="624"/>
      <c r="N12" s="620"/>
      <c r="O12" s="617"/>
      <c r="P12" s="739"/>
      <c r="Q12" s="740"/>
      <c r="R12" s="624"/>
    </row>
    <row r="13" spans="1:29" s="275" customFormat="1" ht="24.75" customHeight="1" hidden="1">
      <c r="A13" s="278">
        <v>2</v>
      </c>
      <c r="B13" s="733"/>
      <c r="C13" s="545" t="s">
        <v>165</v>
      </c>
      <c r="D13" s="280">
        <v>32.512157</v>
      </c>
      <c r="E13" s="281">
        <v>0.074725</v>
      </c>
      <c r="F13" s="281">
        <v>3.577095</v>
      </c>
      <c r="G13" s="281">
        <f aca="true" t="shared" si="0" ref="G13:G24">SUM(E13:F13)</f>
        <v>3.65182</v>
      </c>
      <c r="H13" s="282">
        <f aca="true" t="shared" si="1" ref="H13:H26">D13+G13</f>
        <v>36.163977</v>
      </c>
      <c r="I13" s="280">
        <v>28.108976</v>
      </c>
      <c r="J13" s="281">
        <v>0</v>
      </c>
      <c r="K13" s="281">
        <v>0</v>
      </c>
      <c r="L13" s="281">
        <v>0</v>
      </c>
      <c r="M13" s="282">
        <f aca="true" t="shared" si="2" ref="M13:M22">I13+L13</f>
        <v>28.108976</v>
      </c>
      <c r="N13" s="283">
        <f>I13/D13*100</f>
        <v>86.45681675319172</v>
      </c>
      <c r="O13" s="284">
        <f>J13/E13*100</f>
        <v>0</v>
      </c>
      <c r="P13" s="284">
        <f>K13/F13*100</f>
        <v>0</v>
      </c>
      <c r="Q13" s="284">
        <f>L13/G13*100</f>
        <v>0</v>
      </c>
      <c r="R13" s="285">
        <f>M13/H13*100</f>
        <v>77.726451380057</v>
      </c>
      <c r="T13" s="276"/>
      <c r="U13" s="277"/>
      <c r="V13" s="277"/>
      <c r="AB13" s="160">
        <v>29.14983</v>
      </c>
      <c r="AC13" s="160">
        <f>AB13/AB19*100</f>
        <v>77.09726343320534</v>
      </c>
    </row>
    <row r="14" spans="1:29" s="275" customFormat="1" ht="24.75" customHeight="1" hidden="1">
      <c r="A14" s="278">
        <v>3</v>
      </c>
      <c r="B14" s="733"/>
      <c r="C14" s="545" t="s">
        <v>166</v>
      </c>
      <c r="D14" s="280">
        <v>38.072367</v>
      </c>
      <c r="E14" s="281">
        <v>0.455953</v>
      </c>
      <c r="F14" s="281">
        <v>6.43152</v>
      </c>
      <c r="G14" s="281">
        <f t="shared" si="0"/>
        <v>6.887473</v>
      </c>
      <c r="H14" s="282">
        <f t="shared" si="1"/>
        <v>44.95984</v>
      </c>
      <c r="I14" s="280">
        <v>33.204489</v>
      </c>
      <c r="J14" s="281">
        <v>0.196699</v>
      </c>
      <c r="K14" s="281">
        <v>0.017677</v>
      </c>
      <c r="L14" s="281">
        <f aca="true" t="shared" si="3" ref="L14:L26">SUM(J14:K14)</f>
        <v>0.214376</v>
      </c>
      <c r="M14" s="282">
        <f t="shared" si="2"/>
        <v>33.418865000000004</v>
      </c>
      <c r="N14" s="283">
        <f aca="true" t="shared" si="4" ref="N14:R26">I14/D14*100</f>
        <v>87.21414405361243</v>
      </c>
      <c r="O14" s="284">
        <f t="shared" si="4"/>
        <v>43.140192081201356</v>
      </c>
      <c r="P14" s="284">
        <f t="shared" si="4"/>
        <v>0.2748494912555663</v>
      </c>
      <c r="Q14" s="284">
        <f t="shared" si="4"/>
        <v>3.1125494067272568</v>
      </c>
      <c r="R14" s="285">
        <f t="shared" si="4"/>
        <v>74.33048026861306</v>
      </c>
      <c r="T14" s="276"/>
      <c r="U14" s="277"/>
      <c r="V14" s="277"/>
      <c r="W14" s="276"/>
      <c r="AB14" s="160">
        <v>3.573206</v>
      </c>
      <c r="AC14" s="160">
        <f>AB14/AB19*100</f>
        <v>9.450635021991891</v>
      </c>
    </row>
    <row r="15" spans="1:29" s="275" customFormat="1" ht="24.75" customHeight="1" hidden="1">
      <c r="A15" s="278">
        <v>4</v>
      </c>
      <c r="B15" s="733"/>
      <c r="C15" s="545" t="s">
        <v>167</v>
      </c>
      <c r="D15" s="280">
        <v>40.745862</v>
      </c>
      <c r="E15" s="281">
        <v>1.137781</v>
      </c>
      <c r="F15" s="281">
        <v>12.687637</v>
      </c>
      <c r="G15" s="281">
        <f t="shared" si="0"/>
        <v>13.825418</v>
      </c>
      <c r="H15" s="282">
        <f t="shared" si="1"/>
        <v>54.57128</v>
      </c>
      <c r="I15" s="280">
        <v>35.416958</v>
      </c>
      <c r="J15" s="281">
        <v>0.515919</v>
      </c>
      <c r="K15" s="281">
        <v>2.256288</v>
      </c>
      <c r="L15" s="281">
        <f t="shared" si="3"/>
        <v>2.772207</v>
      </c>
      <c r="M15" s="282">
        <f t="shared" si="2"/>
        <v>38.189165</v>
      </c>
      <c r="N15" s="283">
        <f t="shared" si="4"/>
        <v>86.92160691066003</v>
      </c>
      <c r="O15" s="284">
        <f t="shared" si="4"/>
        <v>45.34431494285808</v>
      </c>
      <c r="P15" s="284">
        <f t="shared" si="4"/>
        <v>17.78335871368325</v>
      </c>
      <c r="Q15" s="284">
        <f t="shared" si="4"/>
        <v>20.05152393945702</v>
      </c>
      <c r="R15" s="285">
        <f t="shared" si="4"/>
        <v>69.98033581033833</v>
      </c>
      <c r="T15" s="276"/>
      <c r="U15" s="277"/>
      <c r="V15" s="277"/>
      <c r="W15" s="276"/>
      <c r="AB15" s="160">
        <v>2.756253</v>
      </c>
      <c r="AC15" s="160">
        <f>AB15/AB19*100</f>
        <v>7.2899074756032025</v>
      </c>
    </row>
    <row r="16" spans="1:29" s="275" customFormat="1" ht="24.75" customHeight="1" hidden="1">
      <c r="A16" s="278">
        <v>5</v>
      </c>
      <c r="B16" s="733"/>
      <c r="C16" s="545" t="s">
        <v>168</v>
      </c>
      <c r="D16" s="280">
        <v>40.919515</v>
      </c>
      <c r="E16" s="281">
        <v>9.465588</v>
      </c>
      <c r="F16" s="281">
        <v>26.154405</v>
      </c>
      <c r="G16" s="281">
        <f t="shared" si="0"/>
        <v>35.619993</v>
      </c>
      <c r="H16" s="282">
        <f t="shared" si="1"/>
        <v>76.539508</v>
      </c>
      <c r="I16" s="280">
        <v>35.435637</v>
      </c>
      <c r="J16" s="281">
        <v>0.958792</v>
      </c>
      <c r="K16" s="281">
        <v>5.254117</v>
      </c>
      <c r="L16" s="281">
        <f t="shared" si="3"/>
        <v>6.212909</v>
      </c>
      <c r="M16" s="282">
        <f t="shared" si="2"/>
        <v>41.648545999999996</v>
      </c>
      <c r="N16" s="283">
        <f t="shared" si="4"/>
        <v>86.59837977063023</v>
      </c>
      <c r="O16" s="284">
        <f t="shared" si="4"/>
        <v>10.129238669589252</v>
      </c>
      <c r="P16" s="284">
        <f t="shared" si="4"/>
        <v>20.088841631075148</v>
      </c>
      <c r="Q16" s="284">
        <f t="shared" si="4"/>
        <v>17.442196016153062</v>
      </c>
      <c r="R16" s="285">
        <f t="shared" si="4"/>
        <v>54.41444175470791</v>
      </c>
      <c r="T16" s="276"/>
      <c r="U16" s="277"/>
      <c r="V16" s="277"/>
      <c r="W16" s="276"/>
      <c r="AB16" s="160">
        <v>1.115693</v>
      </c>
      <c r="AC16" s="160">
        <f>AB16/AB19*100</f>
        <v>2.950853474328432</v>
      </c>
    </row>
    <row r="17" spans="1:29" s="454" customFormat="1" ht="24.75" customHeight="1" hidden="1">
      <c r="A17" s="447">
        <v>6</v>
      </c>
      <c r="B17" s="733"/>
      <c r="C17" s="546" t="s">
        <v>169</v>
      </c>
      <c r="D17" s="286">
        <v>41.349173</v>
      </c>
      <c r="E17" s="449">
        <v>16.007314</v>
      </c>
      <c r="F17" s="449">
        <v>41.066272</v>
      </c>
      <c r="G17" s="449">
        <f t="shared" si="0"/>
        <v>57.073586</v>
      </c>
      <c r="H17" s="450">
        <f t="shared" si="1"/>
        <v>98.422759</v>
      </c>
      <c r="I17" s="286">
        <v>35.859482</v>
      </c>
      <c r="J17" s="449">
        <v>1.628111</v>
      </c>
      <c r="K17" s="449">
        <v>9.447357</v>
      </c>
      <c r="L17" s="449">
        <f t="shared" si="3"/>
        <v>11.075468</v>
      </c>
      <c r="M17" s="450">
        <f t="shared" si="2"/>
        <v>46.93495</v>
      </c>
      <c r="N17" s="451">
        <f t="shared" si="4"/>
        <v>86.72357727686597</v>
      </c>
      <c r="O17" s="452">
        <f t="shared" si="4"/>
        <v>10.171044311369165</v>
      </c>
      <c r="P17" s="452">
        <f t="shared" si="4"/>
        <v>23.005148848183737</v>
      </c>
      <c r="Q17" s="452">
        <f t="shared" si="4"/>
        <v>19.405593333490557</v>
      </c>
      <c r="R17" s="453">
        <f t="shared" si="4"/>
        <v>47.68709034055833</v>
      </c>
      <c r="T17" s="455"/>
      <c r="U17" s="456"/>
      <c r="V17" s="456"/>
      <c r="W17" s="455"/>
      <c r="AB17" s="457">
        <v>0.929564</v>
      </c>
      <c r="AC17" s="457">
        <f>AB17/AB19*100</f>
        <v>2.4585680460580415</v>
      </c>
    </row>
    <row r="18" spans="1:29" s="275" customFormat="1" ht="24.75" customHeight="1" hidden="1">
      <c r="A18" s="278">
        <v>7</v>
      </c>
      <c r="B18" s="733"/>
      <c r="C18" s="545" t="s">
        <v>170</v>
      </c>
      <c r="D18" s="280">
        <v>41.564713</v>
      </c>
      <c r="E18" s="281">
        <v>29.697012</v>
      </c>
      <c r="F18" s="281">
        <v>69.198304</v>
      </c>
      <c r="G18" s="281">
        <f t="shared" si="0"/>
        <v>98.895316</v>
      </c>
      <c r="H18" s="282">
        <f t="shared" si="1"/>
        <v>140.460029</v>
      </c>
      <c r="I18" s="280">
        <v>35.422889</v>
      </c>
      <c r="J18" s="281">
        <v>2.572525</v>
      </c>
      <c r="K18" s="281">
        <v>17.163761</v>
      </c>
      <c r="L18" s="281">
        <f t="shared" si="3"/>
        <v>19.736286</v>
      </c>
      <c r="M18" s="282">
        <f t="shared" si="2"/>
        <v>55.159175</v>
      </c>
      <c r="N18" s="283">
        <f t="shared" si="4"/>
        <v>85.22346587597032</v>
      </c>
      <c r="O18" s="284">
        <f t="shared" si="4"/>
        <v>8.662571843928271</v>
      </c>
      <c r="P18" s="284">
        <f t="shared" si="4"/>
        <v>24.803730738834297</v>
      </c>
      <c r="Q18" s="284">
        <f t="shared" si="4"/>
        <v>19.956744968588808</v>
      </c>
      <c r="R18" s="285">
        <f t="shared" si="4"/>
        <v>39.27037135952748</v>
      </c>
      <c r="T18" s="276"/>
      <c r="U18" s="277"/>
      <c r="V18" s="277"/>
      <c r="W18" s="276"/>
      <c r="AB18" s="160">
        <v>0.284617</v>
      </c>
      <c r="AC18" s="160">
        <f>AB18/AB19*100</f>
        <v>0.7527725488131013</v>
      </c>
    </row>
    <row r="19" spans="1:29" s="275" customFormat="1" ht="24.75" customHeight="1" hidden="1">
      <c r="A19" s="278">
        <v>8</v>
      </c>
      <c r="B19" s="733"/>
      <c r="C19" s="545" t="s">
        <v>171</v>
      </c>
      <c r="D19" s="280">
        <v>40.773116</v>
      </c>
      <c r="E19" s="281">
        <v>44.623054</v>
      </c>
      <c r="F19" s="281">
        <v>121.43094</v>
      </c>
      <c r="G19" s="281">
        <f t="shared" si="0"/>
        <v>166.05399400000002</v>
      </c>
      <c r="H19" s="282">
        <f t="shared" si="1"/>
        <v>206.82711</v>
      </c>
      <c r="I19" s="280">
        <v>33.738604</v>
      </c>
      <c r="J19" s="281">
        <v>3.556263</v>
      </c>
      <c r="K19" s="281">
        <v>27.428658</v>
      </c>
      <c r="L19" s="281">
        <f t="shared" si="3"/>
        <v>30.984921</v>
      </c>
      <c r="M19" s="282">
        <f t="shared" si="2"/>
        <v>64.723525</v>
      </c>
      <c r="N19" s="283">
        <f t="shared" si="4"/>
        <v>82.7471807648942</v>
      </c>
      <c r="O19" s="284">
        <f t="shared" si="4"/>
        <v>7.9695643422343965</v>
      </c>
      <c r="P19" s="284">
        <f t="shared" si="4"/>
        <v>22.58786599197865</v>
      </c>
      <c r="Q19" s="284">
        <f t="shared" si="4"/>
        <v>18.659545761964626</v>
      </c>
      <c r="R19" s="285">
        <f t="shared" si="4"/>
        <v>31.29354029072881</v>
      </c>
      <c r="T19" s="276"/>
      <c r="U19" s="277"/>
      <c r="V19" s="277"/>
      <c r="W19" s="276"/>
      <c r="AB19" s="160">
        <f>SUM(AB13:AB18)</f>
        <v>37.809163</v>
      </c>
      <c r="AC19" s="160">
        <f>AB19/AB19*100</f>
        <v>100</v>
      </c>
    </row>
    <row r="20" spans="1:23" s="275" customFormat="1" ht="24.75" customHeight="1" hidden="1">
      <c r="A20" s="278">
        <v>9</v>
      </c>
      <c r="B20" s="733"/>
      <c r="C20" s="545" t="s">
        <v>172</v>
      </c>
      <c r="D20" s="286">
        <v>39.415963</v>
      </c>
      <c r="E20" s="281">
        <v>68.380974</v>
      </c>
      <c r="F20" s="281">
        <v>192.355029</v>
      </c>
      <c r="G20" s="281">
        <f t="shared" si="0"/>
        <v>260.736003</v>
      </c>
      <c r="H20" s="282">
        <f t="shared" si="1"/>
        <v>300.15196599999996</v>
      </c>
      <c r="I20" s="280">
        <v>31.552296</v>
      </c>
      <c r="J20" s="281">
        <v>4.577732</v>
      </c>
      <c r="K20" s="281">
        <v>36.20904</v>
      </c>
      <c r="L20" s="281">
        <f t="shared" si="3"/>
        <v>40.786772</v>
      </c>
      <c r="M20" s="282">
        <f t="shared" si="2"/>
        <v>72.339068</v>
      </c>
      <c r="N20" s="283">
        <f t="shared" si="4"/>
        <v>80.04953729025979</v>
      </c>
      <c r="O20" s="284">
        <f t="shared" si="4"/>
        <v>6.694452758160479</v>
      </c>
      <c r="P20" s="284">
        <f t="shared" si="4"/>
        <v>18.82406724078943</v>
      </c>
      <c r="Q20" s="284">
        <f t="shared" si="4"/>
        <v>15.642938271167713</v>
      </c>
      <c r="R20" s="285">
        <f t="shared" si="4"/>
        <v>24.10081431883741</v>
      </c>
      <c r="T20" s="335"/>
      <c r="U20" s="277"/>
      <c r="V20" s="277"/>
      <c r="W20" s="276"/>
    </row>
    <row r="21" spans="1:23" s="275" customFormat="1" ht="24.75" customHeight="1" hidden="1">
      <c r="A21" s="278">
        <v>10</v>
      </c>
      <c r="B21" s="733"/>
      <c r="C21" s="545" t="s">
        <v>173</v>
      </c>
      <c r="D21" s="280">
        <v>37.905555</v>
      </c>
      <c r="E21" s="281">
        <v>102.952086</v>
      </c>
      <c r="F21" s="281">
        <v>288.390629</v>
      </c>
      <c r="G21" s="281">
        <f t="shared" si="0"/>
        <v>391.342715</v>
      </c>
      <c r="H21" s="282">
        <f t="shared" si="1"/>
        <v>429.24827</v>
      </c>
      <c r="I21" s="280">
        <v>29.346431</v>
      </c>
      <c r="J21" s="281">
        <v>5.433038</v>
      </c>
      <c r="K21" s="281">
        <v>46.711196</v>
      </c>
      <c r="L21" s="281">
        <f t="shared" si="3"/>
        <v>52.144234</v>
      </c>
      <c r="M21" s="282">
        <f t="shared" si="2"/>
        <v>81.49066499999999</v>
      </c>
      <c r="N21" s="283">
        <f t="shared" si="4"/>
        <v>77.4198689347775</v>
      </c>
      <c r="O21" s="284">
        <f t="shared" si="4"/>
        <v>5.277249069047518</v>
      </c>
      <c r="P21" s="284">
        <f t="shared" si="4"/>
        <v>16.19719619946458</v>
      </c>
      <c r="Q21" s="284">
        <f t="shared" si="4"/>
        <v>13.324442234730242</v>
      </c>
      <c r="R21" s="285">
        <f t="shared" si="4"/>
        <v>18.98450633243088</v>
      </c>
      <c r="T21" s="335"/>
      <c r="U21" s="277"/>
      <c r="V21" s="277"/>
      <c r="W21" s="276"/>
    </row>
    <row r="22" spans="1:28" s="275" customFormat="1" ht="24.75" customHeight="1">
      <c r="A22" s="287">
        <v>11</v>
      </c>
      <c r="B22" s="733"/>
      <c r="C22" s="547" t="s">
        <v>151</v>
      </c>
      <c r="D22" s="289">
        <v>369.42205</v>
      </c>
      <c r="E22" s="291">
        <v>1627.27327</v>
      </c>
      <c r="F22" s="290">
        <v>4216.79722</v>
      </c>
      <c r="G22" s="281">
        <f t="shared" si="0"/>
        <v>5844.07049</v>
      </c>
      <c r="H22" s="292">
        <f t="shared" si="1"/>
        <v>6213.49254</v>
      </c>
      <c r="I22" s="289">
        <v>278.3056</v>
      </c>
      <c r="J22" s="291">
        <v>61.44929</v>
      </c>
      <c r="K22" s="291">
        <v>633.05083</v>
      </c>
      <c r="L22" s="291">
        <f t="shared" si="3"/>
        <v>694.50012</v>
      </c>
      <c r="M22" s="540">
        <f t="shared" si="2"/>
        <v>972.8057200000001</v>
      </c>
      <c r="N22" s="283">
        <f t="shared" si="4"/>
        <v>75.33540566947751</v>
      </c>
      <c r="O22" s="294">
        <f t="shared" si="4"/>
        <v>3.7762120925147378</v>
      </c>
      <c r="P22" s="294">
        <f t="shared" si="4"/>
        <v>15.012598353022058</v>
      </c>
      <c r="Q22" s="294">
        <f t="shared" si="4"/>
        <v>11.883842284044729</v>
      </c>
      <c r="R22" s="295">
        <f t="shared" si="4"/>
        <v>15.656343252003005</v>
      </c>
      <c r="T22" s="335"/>
      <c r="U22" s="277"/>
      <c r="V22" s="277"/>
      <c r="W22" s="276"/>
      <c r="AB22" s="275">
        <v>162044</v>
      </c>
    </row>
    <row r="23" spans="1:23" s="275" customFormat="1" ht="24.75" customHeight="1">
      <c r="A23" s="287">
        <v>12</v>
      </c>
      <c r="B23" s="733"/>
      <c r="C23" s="547" t="s">
        <v>190</v>
      </c>
      <c r="D23" s="289">
        <v>347.24279</v>
      </c>
      <c r="E23" s="291">
        <v>2259.20431</v>
      </c>
      <c r="F23" s="290">
        <v>5856.80301</v>
      </c>
      <c r="G23" s="281">
        <f t="shared" si="0"/>
        <v>8116.00732</v>
      </c>
      <c r="H23" s="292">
        <f t="shared" si="1"/>
        <v>8463.250109999999</v>
      </c>
      <c r="I23" s="289">
        <v>252.24905</v>
      </c>
      <c r="J23" s="291">
        <v>55.65437</v>
      </c>
      <c r="K23" s="291">
        <v>862.68689</v>
      </c>
      <c r="L23" s="291">
        <f>SUM(J23:K23)</f>
        <v>918.3412599999999</v>
      </c>
      <c r="M23" s="540">
        <f>I23+L23</f>
        <v>1170.59031</v>
      </c>
      <c r="N23" s="283">
        <f t="shared" si="4"/>
        <v>72.64342335228903</v>
      </c>
      <c r="O23" s="294">
        <f t="shared" si="4"/>
        <v>2.4634500630888048</v>
      </c>
      <c r="P23" s="294">
        <f t="shared" si="4"/>
        <v>14.729655215089776</v>
      </c>
      <c r="Q23" s="294">
        <f t="shared" si="4"/>
        <v>11.315185211045375</v>
      </c>
      <c r="R23" s="295">
        <f t="shared" si="4"/>
        <v>13.83145121301396</v>
      </c>
      <c r="T23" s="335"/>
      <c r="U23" s="277"/>
      <c r="V23" s="277"/>
      <c r="W23" s="276">
        <f>U23-U20</f>
        <v>0</v>
      </c>
    </row>
    <row r="24" spans="1:23" s="275" customFormat="1" ht="24.75" customHeight="1">
      <c r="A24" s="287">
        <v>13</v>
      </c>
      <c r="B24" s="733"/>
      <c r="C24" s="547" t="s">
        <v>198</v>
      </c>
      <c r="D24" s="289">
        <v>321.5114</v>
      </c>
      <c r="E24" s="291">
        <v>2243.40209</v>
      </c>
      <c r="F24" s="290">
        <v>6957.56599</v>
      </c>
      <c r="G24" s="281">
        <f t="shared" si="0"/>
        <v>9200.96808</v>
      </c>
      <c r="H24" s="292">
        <f t="shared" si="1"/>
        <v>9522.47948</v>
      </c>
      <c r="I24" s="289">
        <v>224.67732</v>
      </c>
      <c r="J24" s="291">
        <v>40.03914</v>
      </c>
      <c r="K24" s="291">
        <v>945.09074</v>
      </c>
      <c r="L24" s="291">
        <f>SUM(J24:K24)</f>
        <v>985.12988</v>
      </c>
      <c r="M24" s="540">
        <f>I24+L24</f>
        <v>1209.8072</v>
      </c>
      <c r="N24" s="283">
        <f t="shared" si="4"/>
        <v>69.88160295404768</v>
      </c>
      <c r="O24" s="294">
        <f t="shared" si="4"/>
        <v>1.7847509449364918</v>
      </c>
      <c r="P24" s="294">
        <f t="shared" si="4"/>
        <v>13.583640332817023</v>
      </c>
      <c r="Q24" s="294">
        <f t="shared" si="4"/>
        <v>10.706806842872995</v>
      </c>
      <c r="R24" s="295">
        <f t="shared" si="4"/>
        <v>12.70474987676214</v>
      </c>
      <c r="T24" s="335"/>
      <c r="U24" s="277"/>
      <c r="V24" s="277"/>
      <c r="W24" s="276"/>
    </row>
    <row r="25" spans="1:23" s="275" customFormat="1" ht="24.75" customHeight="1">
      <c r="A25" s="287">
        <v>14</v>
      </c>
      <c r="B25" s="733"/>
      <c r="C25" s="547" t="s">
        <v>204</v>
      </c>
      <c r="D25" s="289">
        <v>302.07668</v>
      </c>
      <c r="E25" s="291">
        <v>1708.94202</v>
      </c>
      <c r="F25" s="290">
        <v>6968.91903</v>
      </c>
      <c r="G25" s="281">
        <f>SUM(E25:F25)</f>
        <v>8677.86105</v>
      </c>
      <c r="H25" s="292">
        <f>D25+G25</f>
        <v>8979.93773</v>
      </c>
      <c r="I25" s="289">
        <v>204.46062</v>
      </c>
      <c r="J25" s="291">
        <v>27.01813</v>
      </c>
      <c r="K25" s="291">
        <v>985.04812</v>
      </c>
      <c r="L25" s="291">
        <f>SUM(J25:K25)</f>
        <v>1012.0662500000001</v>
      </c>
      <c r="M25" s="540">
        <f>I25+L25</f>
        <v>1216.5268700000001</v>
      </c>
      <c r="N25" s="283">
        <f t="shared" si="4"/>
        <v>67.68500633680164</v>
      </c>
      <c r="O25" s="294">
        <f t="shared" si="4"/>
        <v>1.580985761003173</v>
      </c>
      <c r="P25" s="294">
        <f t="shared" si="4"/>
        <v>14.134876811734173</v>
      </c>
      <c r="Q25" s="294">
        <f t="shared" si="4"/>
        <v>11.662623360395937</v>
      </c>
      <c r="R25" s="295">
        <f t="shared" si="4"/>
        <v>13.547163761902837</v>
      </c>
      <c r="T25" s="335"/>
      <c r="U25" s="277"/>
      <c r="V25" s="277"/>
      <c r="W25" s="276"/>
    </row>
    <row r="26" spans="1:23" s="275" customFormat="1" ht="24.75" customHeight="1" thickBot="1">
      <c r="A26" s="270">
        <v>15</v>
      </c>
      <c r="B26" s="734"/>
      <c r="C26" s="548" t="s">
        <v>242</v>
      </c>
      <c r="D26" s="297">
        <v>290</v>
      </c>
      <c r="E26" s="299">
        <v>1594.1</v>
      </c>
      <c r="F26" s="299">
        <v>7216.6</v>
      </c>
      <c r="G26" s="296">
        <f>SUM(E26:F26)</f>
        <v>8810.7</v>
      </c>
      <c r="H26" s="272">
        <f t="shared" si="1"/>
        <v>9100.7</v>
      </c>
      <c r="I26" s="297">
        <v>190.6</v>
      </c>
      <c r="J26" s="299">
        <v>23.3</v>
      </c>
      <c r="K26" s="299">
        <v>960.1</v>
      </c>
      <c r="L26" s="296">
        <f t="shared" si="3"/>
        <v>983.4</v>
      </c>
      <c r="M26" s="272">
        <f>I26+L26</f>
        <v>1174</v>
      </c>
      <c r="N26" s="297">
        <f t="shared" si="4"/>
        <v>65.72413793103448</v>
      </c>
      <c r="O26" s="273">
        <f t="shared" si="4"/>
        <v>1.4616397967505177</v>
      </c>
      <c r="P26" s="273">
        <f t="shared" si="4"/>
        <v>13.30404899814317</v>
      </c>
      <c r="Q26" s="273">
        <f t="shared" si="4"/>
        <v>11.161428717355033</v>
      </c>
      <c r="R26" s="274">
        <f t="shared" si="4"/>
        <v>12.90010658520773</v>
      </c>
      <c r="T26" s="335"/>
      <c r="U26" s="277"/>
      <c r="W26" s="275">
        <f>W23/4</f>
        <v>0</v>
      </c>
    </row>
    <row r="27" ht="15">
      <c r="E27" s="74"/>
    </row>
    <row r="30" spans="7:12" ht="15">
      <c r="G30" s="161">
        <f>(G26-G22)/G22*100</f>
        <v>50.763068567983694</v>
      </c>
      <c r="L30" s="26">
        <f>(L26-L22)/L22*100</f>
        <v>41.59824767200903</v>
      </c>
    </row>
    <row r="35" spans="9:10" ht="15">
      <c r="I35" s="728"/>
      <c r="J35" s="728"/>
    </row>
    <row r="36" spans="9:10" ht="15">
      <c r="I36" s="728"/>
      <c r="J36" s="728"/>
    </row>
    <row r="37" spans="9:10" ht="15">
      <c r="I37" s="728"/>
      <c r="J37" s="728"/>
    </row>
    <row r="38" spans="9:10" ht="15">
      <c r="I38" s="728"/>
      <c r="J38" s="728"/>
    </row>
    <row r="43" ht="15">
      <c r="I43" s="369"/>
    </row>
  </sheetData>
  <sheetProtection/>
  <mergeCells count="40">
    <mergeCell ref="I37:J37"/>
    <mergeCell ref="I38:J38"/>
    <mergeCell ref="B10:B26"/>
    <mergeCell ref="C3:R3"/>
    <mergeCell ref="E11:G12"/>
    <mergeCell ref="J11:L12"/>
    <mergeCell ref="O11:Q12"/>
    <mergeCell ref="M11:M12"/>
    <mergeCell ref="N11:N12"/>
    <mergeCell ref="R11:R12"/>
    <mergeCell ref="I35:J35"/>
    <mergeCell ref="I36:J36"/>
    <mergeCell ref="F6:G7"/>
    <mergeCell ref="H6:H7"/>
    <mergeCell ref="I6:J7"/>
    <mergeCell ref="A10:A12"/>
    <mergeCell ref="C10:C12"/>
    <mergeCell ref="D10:H10"/>
    <mergeCell ref="I10:M10"/>
    <mergeCell ref="D8:E8"/>
    <mergeCell ref="N10:R10"/>
    <mergeCell ref="D11:D12"/>
    <mergeCell ref="H11:H12"/>
    <mergeCell ref="I11:I12"/>
    <mergeCell ref="M6:M7"/>
    <mergeCell ref="N6:O7"/>
    <mergeCell ref="I8:J8"/>
    <mergeCell ref="K8:L8"/>
    <mergeCell ref="N8:O8"/>
    <mergeCell ref="F8:G8"/>
    <mergeCell ref="P8:Q8"/>
    <mergeCell ref="A5:A7"/>
    <mergeCell ref="C5:C7"/>
    <mergeCell ref="D5:H5"/>
    <mergeCell ref="I5:M5"/>
    <mergeCell ref="N5:R5"/>
    <mergeCell ref="D6:E7"/>
    <mergeCell ref="K6:L7"/>
    <mergeCell ref="P6:Q7"/>
    <mergeCell ref="R6:R7"/>
  </mergeCells>
  <printOptions horizontalCentered="1" vertic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scale="96" r:id="rId1"/>
  <colBreaks count="2" manualBreakCount="2">
    <brk id="18" max="25" man="1"/>
    <brk id="1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B43"/>
  <sheetViews>
    <sheetView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I31" sqref="I31"/>
    </sheetView>
  </sheetViews>
  <sheetFormatPr defaultColWidth="9.140625" defaultRowHeight="12.75"/>
  <cols>
    <col min="1" max="1" width="5.7109375" style="26" customWidth="1"/>
    <col min="2" max="2" width="13.421875" style="26" customWidth="1"/>
    <col min="3" max="3" width="10.00390625" style="26" customWidth="1"/>
    <col min="4" max="4" width="9.7109375" style="26" customWidth="1"/>
    <col min="5" max="5" width="8.8515625" style="26" customWidth="1"/>
    <col min="6" max="6" width="9.00390625" style="26" customWidth="1"/>
    <col min="7" max="7" width="8.8515625" style="26" customWidth="1"/>
    <col min="8" max="8" width="10.57421875" style="26" customWidth="1"/>
    <col min="9" max="9" width="10.00390625" style="26" customWidth="1"/>
    <col min="10" max="10" width="8.7109375" style="26" customWidth="1"/>
    <col min="11" max="12" width="8.28125" style="26" customWidth="1"/>
    <col min="13" max="13" width="10.28125" style="26" customWidth="1"/>
    <col min="14" max="14" width="9.421875" style="26" customWidth="1"/>
    <col min="15" max="15" width="8.8515625" style="26" customWidth="1"/>
    <col min="16" max="16" width="7.57421875" style="26" customWidth="1"/>
    <col min="17" max="17" width="9.421875" style="26" customWidth="1"/>
    <col min="18" max="18" width="11.140625" style="26" hidden="1" customWidth="1"/>
    <col min="19" max="19" width="13.28125" style="26" customWidth="1"/>
    <col min="20" max="20" width="10.421875" style="26" bestFit="1" customWidth="1"/>
    <col min="21" max="21" width="13.421875" style="26" customWidth="1"/>
    <col min="22" max="26" width="9.140625" style="26" customWidth="1"/>
    <col min="27" max="27" width="12.421875" style="26" customWidth="1"/>
    <col min="28" max="16384" width="9.140625" style="26" customWidth="1"/>
  </cols>
  <sheetData>
    <row r="1" spans="3:16" ht="15.75">
      <c r="C1" s="29" t="str">
        <f>'Anne-8'!B2</f>
        <v>No. 1-2(1)/Market Share/2013-CP&amp;M </v>
      </c>
      <c r="I1" s="29"/>
      <c r="P1" s="29" t="s">
        <v>174</v>
      </c>
    </row>
    <row r="2" ht="15.75">
      <c r="N2" s="29"/>
    </row>
    <row r="3" spans="2:14" ht="15.75">
      <c r="B3" s="29" t="s">
        <v>194</v>
      </c>
      <c r="N3" s="29"/>
    </row>
    <row r="4" spans="7:12" ht="15.75" thickBot="1">
      <c r="G4" s="74"/>
      <c r="H4" s="74"/>
      <c r="I4" s="74"/>
      <c r="J4" s="74"/>
      <c r="K4" s="74"/>
      <c r="L4" s="74"/>
    </row>
    <row r="5" spans="1:17" ht="33.75" customHeight="1">
      <c r="A5" s="618" t="s">
        <v>62</v>
      </c>
      <c r="B5" s="616" t="s">
        <v>158</v>
      </c>
      <c r="C5" s="621" t="s">
        <v>159</v>
      </c>
      <c r="D5" s="622"/>
      <c r="E5" s="622"/>
      <c r="F5" s="622"/>
      <c r="G5" s="623"/>
      <c r="H5" s="621" t="s">
        <v>160</v>
      </c>
      <c r="I5" s="622"/>
      <c r="J5" s="622"/>
      <c r="K5" s="622"/>
      <c r="L5" s="623"/>
      <c r="M5" s="621" t="s">
        <v>161</v>
      </c>
      <c r="N5" s="622"/>
      <c r="O5" s="622"/>
      <c r="P5" s="622"/>
      <c r="Q5" s="623"/>
    </row>
    <row r="6" spans="1:17" ht="16.5" customHeight="1">
      <c r="A6" s="619"/>
      <c r="B6" s="723"/>
      <c r="C6" s="620" t="s">
        <v>162</v>
      </c>
      <c r="D6" s="625"/>
      <c r="E6" s="625" t="s">
        <v>163</v>
      </c>
      <c r="F6" s="625"/>
      <c r="G6" s="624" t="s">
        <v>70</v>
      </c>
      <c r="H6" s="620" t="s">
        <v>162</v>
      </c>
      <c r="I6" s="625"/>
      <c r="J6" s="625" t="s">
        <v>163</v>
      </c>
      <c r="K6" s="625"/>
      <c r="L6" s="624" t="s">
        <v>70</v>
      </c>
      <c r="M6" s="620" t="s">
        <v>162</v>
      </c>
      <c r="N6" s="625"/>
      <c r="O6" s="625" t="s">
        <v>163</v>
      </c>
      <c r="P6" s="625"/>
      <c r="Q6" s="624" t="s">
        <v>70</v>
      </c>
    </row>
    <row r="7" spans="1:17" ht="22.5" customHeight="1">
      <c r="A7" s="620"/>
      <c r="B7" s="624"/>
      <c r="C7" s="620"/>
      <c r="D7" s="625"/>
      <c r="E7" s="625"/>
      <c r="F7" s="625"/>
      <c r="G7" s="624"/>
      <c r="H7" s="620"/>
      <c r="I7" s="625"/>
      <c r="J7" s="625"/>
      <c r="K7" s="625"/>
      <c r="L7" s="624"/>
      <c r="M7" s="620"/>
      <c r="N7" s="625"/>
      <c r="O7" s="625"/>
      <c r="P7" s="625"/>
      <c r="Q7" s="624"/>
    </row>
    <row r="8" spans="1:28" s="275" customFormat="1" ht="24.75" customHeight="1" thickBot="1">
      <c r="A8" s="270">
        <v>1</v>
      </c>
      <c r="B8" s="271" t="s">
        <v>164</v>
      </c>
      <c r="C8" s="724">
        <v>28.04</v>
      </c>
      <c r="D8" s="725"/>
      <c r="E8" s="726">
        <v>2.62</v>
      </c>
      <c r="F8" s="725"/>
      <c r="G8" s="272">
        <f>SUM(C8:F8)</f>
        <v>30.66</v>
      </c>
      <c r="H8" s="724">
        <v>23.93</v>
      </c>
      <c r="I8" s="725"/>
      <c r="J8" s="726">
        <v>0</v>
      </c>
      <c r="K8" s="725"/>
      <c r="L8" s="272">
        <f>SUM(H8:K8)</f>
        <v>23.93</v>
      </c>
      <c r="M8" s="727">
        <f>H8/C8*100</f>
        <v>85.34236804564908</v>
      </c>
      <c r="N8" s="722"/>
      <c r="O8" s="721">
        <f>J8/E8*100</f>
        <v>0</v>
      </c>
      <c r="P8" s="722"/>
      <c r="Q8" s="274">
        <f>L8/G8*100</f>
        <v>78.04957599478148</v>
      </c>
      <c r="S8" s="276"/>
      <c r="T8" s="277"/>
      <c r="U8" s="277"/>
      <c r="AA8" s="160">
        <v>29.14983</v>
      </c>
      <c r="AB8" s="160">
        <f>AA8/AA14*100</f>
        <v>815.7892380120263</v>
      </c>
    </row>
    <row r="9" ht="15.75" thickBot="1"/>
    <row r="10" spans="1:17" ht="33.75" customHeight="1">
      <c r="A10" s="618" t="s">
        <v>62</v>
      </c>
      <c r="B10" s="616" t="s">
        <v>158</v>
      </c>
      <c r="C10" s="621" t="s">
        <v>159</v>
      </c>
      <c r="D10" s="622"/>
      <c r="E10" s="622"/>
      <c r="F10" s="622"/>
      <c r="G10" s="623"/>
      <c r="H10" s="621" t="s">
        <v>160</v>
      </c>
      <c r="I10" s="622"/>
      <c r="J10" s="622"/>
      <c r="K10" s="622"/>
      <c r="L10" s="623"/>
      <c r="M10" s="621" t="s">
        <v>161</v>
      </c>
      <c r="N10" s="622"/>
      <c r="O10" s="622"/>
      <c r="P10" s="622"/>
      <c r="Q10" s="623"/>
    </row>
    <row r="11" spans="1:17" ht="16.5" customHeight="1">
      <c r="A11" s="619"/>
      <c r="B11" s="723"/>
      <c r="C11" s="620" t="s">
        <v>143</v>
      </c>
      <c r="D11" s="625" t="s">
        <v>141</v>
      </c>
      <c r="E11" s="625"/>
      <c r="F11" s="625"/>
      <c r="G11" s="624" t="s">
        <v>70</v>
      </c>
      <c r="H11" s="620" t="s">
        <v>143</v>
      </c>
      <c r="I11" s="625" t="s">
        <v>141</v>
      </c>
      <c r="J11" s="625"/>
      <c r="K11" s="625"/>
      <c r="L11" s="624" t="s">
        <v>70</v>
      </c>
      <c r="M11" s="620" t="s">
        <v>143</v>
      </c>
      <c r="N11" s="625" t="s">
        <v>141</v>
      </c>
      <c r="O11" s="625"/>
      <c r="P11" s="625"/>
      <c r="Q11" s="624" t="s">
        <v>70</v>
      </c>
    </row>
    <row r="12" spans="1:17" ht="21" customHeight="1">
      <c r="A12" s="620"/>
      <c r="B12" s="624"/>
      <c r="C12" s="620"/>
      <c r="D12" s="183" t="s">
        <v>131</v>
      </c>
      <c r="E12" s="183" t="s">
        <v>140</v>
      </c>
      <c r="F12" s="183" t="s">
        <v>89</v>
      </c>
      <c r="G12" s="624"/>
      <c r="H12" s="620"/>
      <c r="I12" s="183" t="s">
        <v>131</v>
      </c>
      <c r="J12" s="183" t="s">
        <v>140</v>
      </c>
      <c r="K12" s="183" t="s">
        <v>89</v>
      </c>
      <c r="L12" s="624"/>
      <c r="M12" s="620"/>
      <c r="N12" s="183" t="s">
        <v>131</v>
      </c>
      <c r="O12" s="183" t="s">
        <v>140</v>
      </c>
      <c r="P12" s="183" t="s">
        <v>89</v>
      </c>
      <c r="Q12" s="624"/>
    </row>
    <row r="13" spans="1:28" s="275" customFormat="1" ht="24.75" customHeight="1">
      <c r="A13" s="278">
        <v>2</v>
      </c>
      <c r="B13" s="279" t="s">
        <v>165</v>
      </c>
      <c r="C13" s="280">
        <v>32.512157</v>
      </c>
      <c r="D13" s="281">
        <v>0.074725</v>
      </c>
      <c r="E13" s="281">
        <v>3.577095</v>
      </c>
      <c r="F13" s="281">
        <f aca="true" t="shared" si="0" ref="F13:F26">SUM(D13:E13)</f>
        <v>3.65182</v>
      </c>
      <c r="G13" s="282">
        <f aca="true" t="shared" si="1" ref="G13:G26">C13+F13</f>
        <v>36.163977</v>
      </c>
      <c r="H13" s="280">
        <v>28.108976</v>
      </c>
      <c r="I13" s="281">
        <v>0</v>
      </c>
      <c r="J13" s="281">
        <v>0</v>
      </c>
      <c r="K13" s="281">
        <v>0</v>
      </c>
      <c r="L13" s="282">
        <f aca="true" t="shared" si="2" ref="L13:L26">H13+K13</f>
        <v>28.108976</v>
      </c>
      <c r="M13" s="283">
        <f>H13/C13*100</f>
        <v>86.45681675319172</v>
      </c>
      <c r="N13" s="284">
        <f>I13/D13*100</f>
        <v>0</v>
      </c>
      <c r="O13" s="284">
        <f>J13/E13*100</f>
        <v>0</v>
      </c>
      <c r="P13" s="284">
        <f>K13/F13*100</f>
        <v>0</v>
      </c>
      <c r="Q13" s="285">
        <f>L13/G13*100</f>
        <v>77.726451380057</v>
      </c>
      <c r="S13" s="276"/>
      <c r="T13" s="277"/>
      <c r="U13" s="277"/>
      <c r="AA13" s="160">
        <v>29.14983</v>
      </c>
      <c r="AB13" s="160">
        <f>AA13/AA19*100</f>
        <v>77.09726343320534</v>
      </c>
    </row>
    <row r="14" spans="1:28" s="275" customFormat="1" ht="24.75" customHeight="1">
      <c r="A14" s="278">
        <v>3</v>
      </c>
      <c r="B14" s="279" t="s">
        <v>166</v>
      </c>
      <c r="C14" s="280">
        <v>38.072367</v>
      </c>
      <c r="D14" s="281">
        <v>0.455953</v>
      </c>
      <c r="E14" s="281">
        <v>6.43152</v>
      </c>
      <c r="F14" s="281">
        <f t="shared" si="0"/>
        <v>6.887473</v>
      </c>
      <c r="G14" s="282">
        <f t="shared" si="1"/>
        <v>44.95984</v>
      </c>
      <c r="H14" s="280">
        <v>33.204489</v>
      </c>
      <c r="I14" s="281">
        <v>0.196699</v>
      </c>
      <c r="J14" s="281">
        <v>0.017677</v>
      </c>
      <c r="K14" s="281">
        <f aca="true" t="shared" si="3" ref="K14:K26">SUM(I14:J14)</f>
        <v>0.214376</v>
      </c>
      <c r="L14" s="282">
        <f t="shared" si="2"/>
        <v>33.418865000000004</v>
      </c>
      <c r="M14" s="283">
        <f aca="true" t="shared" si="4" ref="M14:Q22">H14/C14*100</f>
        <v>87.21414405361243</v>
      </c>
      <c r="N14" s="284">
        <f t="shared" si="4"/>
        <v>43.140192081201356</v>
      </c>
      <c r="O14" s="284">
        <f t="shared" si="4"/>
        <v>0.2748494912555663</v>
      </c>
      <c r="P14" s="284">
        <f t="shared" si="4"/>
        <v>3.1125494067272568</v>
      </c>
      <c r="Q14" s="285">
        <f t="shared" si="4"/>
        <v>74.33048026861306</v>
      </c>
      <c r="S14" s="276"/>
      <c r="T14" s="277"/>
      <c r="U14" s="277"/>
      <c r="V14" s="276"/>
      <c r="AA14" s="160">
        <v>3.573206</v>
      </c>
      <c r="AB14" s="160">
        <f>AA14/AA19*100</f>
        <v>9.450635021991891</v>
      </c>
    </row>
    <row r="15" spans="1:28" s="275" customFormat="1" ht="24.75" customHeight="1">
      <c r="A15" s="278">
        <v>4</v>
      </c>
      <c r="B15" s="279" t="s">
        <v>167</v>
      </c>
      <c r="C15" s="280">
        <v>40.745862</v>
      </c>
      <c r="D15" s="281">
        <v>1.137781</v>
      </c>
      <c r="E15" s="281">
        <v>12.687637</v>
      </c>
      <c r="F15" s="281">
        <f t="shared" si="0"/>
        <v>13.825418</v>
      </c>
      <c r="G15" s="282">
        <f t="shared" si="1"/>
        <v>54.57128</v>
      </c>
      <c r="H15" s="280">
        <v>35.416958</v>
      </c>
      <c r="I15" s="281">
        <v>0.515919</v>
      </c>
      <c r="J15" s="281">
        <v>2.256288</v>
      </c>
      <c r="K15" s="281">
        <f t="shared" si="3"/>
        <v>2.772207</v>
      </c>
      <c r="L15" s="282">
        <f t="shared" si="2"/>
        <v>38.189165</v>
      </c>
      <c r="M15" s="283">
        <f t="shared" si="4"/>
        <v>86.92160691066003</v>
      </c>
      <c r="N15" s="284">
        <f t="shared" si="4"/>
        <v>45.34431494285808</v>
      </c>
      <c r="O15" s="284">
        <f t="shared" si="4"/>
        <v>17.78335871368325</v>
      </c>
      <c r="P15" s="284">
        <f t="shared" si="4"/>
        <v>20.05152393945702</v>
      </c>
      <c r="Q15" s="285">
        <f t="shared" si="4"/>
        <v>69.98033581033833</v>
      </c>
      <c r="S15" s="276"/>
      <c r="T15" s="277"/>
      <c r="U15" s="277"/>
      <c r="V15" s="276"/>
      <c r="AA15" s="160">
        <v>2.756253</v>
      </c>
      <c r="AB15" s="160">
        <f>AA15/AA19*100</f>
        <v>7.2899074756032025</v>
      </c>
    </row>
    <row r="16" spans="1:28" s="275" customFormat="1" ht="24.75" customHeight="1">
      <c r="A16" s="278">
        <v>5</v>
      </c>
      <c r="B16" s="279" t="s">
        <v>168</v>
      </c>
      <c r="C16" s="280">
        <v>40.919515</v>
      </c>
      <c r="D16" s="281">
        <v>9.465588</v>
      </c>
      <c r="E16" s="281">
        <v>26.154405</v>
      </c>
      <c r="F16" s="281">
        <f t="shared" si="0"/>
        <v>35.619993</v>
      </c>
      <c r="G16" s="282">
        <f t="shared" si="1"/>
        <v>76.539508</v>
      </c>
      <c r="H16" s="280">
        <v>35.435637</v>
      </c>
      <c r="I16" s="281">
        <v>0.958792</v>
      </c>
      <c r="J16" s="281">
        <v>5.254117</v>
      </c>
      <c r="K16" s="281">
        <f t="shared" si="3"/>
        <v>6.212909</v>
      </c>
      <c r="L16" s="282">
        <f t="shared" si="2"/>
        <v>41.648545999999996</v>
      </c>
      <c r="M16" s="283">
        <f t="shared" si="4"/>
        <v>86.59837977063023</v>
      </c>
      <c r="N16" s="284">
        <f t="shared" si="4"/>
        <v>10.129238669589252</v>
      </c>
      <c r="O16" s="284">
        <f t="shared" si="4"/>
        <v>20.088841631075148</v>
      </c>
      <c r="P16" s="284">
        <f t="shared" si="4"/>
        <v>17.442196016153062</v>
      </c>
      <c r="Q16" s="285">
        <f t="shared" si="4"/>
        <v>54.41444175470791</v>
      </c>
      <c r="S16" s="276"/>
      <c r="T16" s="277"/>
      <c r="U16" s="277"/>
      <c r="V16" s="276"/>
      <c r="AA16" s="160">
        <v>1.115693</v>
      </c>
      <c r="AB16" s="160">
        <f>AA16/AA19*100</f>
        <v>2.950853474328432</v>
      </c>
    </row>
    <row r="17" spans="1:28" s="454" customFormat="1" ht="24.75" customHeight="1">
      <c r="A17" s="447">
        <v>6</v>
      </c>
      <c r="B17" s="448" t="s">
        <v>169</v>
      </c>
      <c r="C17" s="286">
        <v>41.349173</v>
      </c>
      <c r="D17" s="449">
        <v>16.007314</v>
      </c>
      <c r="E17" s="449">
        <v>41.066272</v>
      </c>
      <c r="F17" s="449">
        <f t="shared" si="0"/>
        <v>57.073586</v>
      </c>
      <c r="G17" s="450">
        <f t="shared" si="1"/>
        <v>98.422759</v>
      </c>
      <c r="H17" s="286">
        <v>35.859482</v>
      </c>
      <c r="I17" s="449">
        <v>1.628111</v>
      </c>
      <c r="J17" s="449">
        <v>9.447357</v>
      </c>
      <c r="K17" s="449">
        <f t="shared" si="3"/>
        <v>11.075468</v>
      </c>
      <c r="L17" s="450">
        <f t="shared" si="2"/>
        <v>46.93495</v>
      </c>
      <c r="M17" s="451">
        <f t="shared" si="4"/>
        <v>86.72357727686597</v>
      </c>
      <c r="N17" s="452">
        <f t="shared" si="4"/>
        <v>10.171044311369165</v>
      </c>
      <c r="O17" s="452">
        <f t="shared" si="4"/>
        <v>23.005148848183737</v>
      </c>
      <c r="P17" s="452">
        <f t="shared" si="4"/>
        <v>19.405593333490557</v>
      </c>
      <c r="Q17" s="453">
        <f t="shared" si="4"/>
        <v>47.68709034055833</v>
      </c>
      <c r="S17" s="455"/>
      <c r="T17" s="456"/>
      <c r="U17" s="456"/>
      <c r="V17" s="455"/>
      <c r="AA17" s="457">
        <v>0.929564</v>
      </c>
      <c r="AB17" s="457">
        <f>AA17/AA19*100</f>
        <v>2.4585680460580415</v>
      </c>
    </row>
    <row r="18" spans="1:28" s="275" customFormat="1" ht="24.75" customHeight="1">
      <c r="A18" s="278">
        <v>7</v>
      </c>
      <c r="B18" s="279" t="s">
        <v>170</v>
      </c>
      <c r="C18" s="280">
        <v>41.564713</v>
      </c>
      <c r="D18" s="281">
        <v>29.697012</v>
      </c>
      <c r="E18" s="281">
        <v>69.198304</v>
      </c>
      <c r="F18" s="281">
        <f t="shared" si="0"/>
        <v>98.895316</v>
      </c>
      <c r="G18" s="282">
        <f t="shared" si="1"/>
        <v>140.460029</v>
      </c>
      <c r="H18" s="280">
        <v>35.422889</v>
      </c>
      <c r="I18" s="281">
        <v>2.572525</v>
      </c>
      <c r="J18" s="281">
        <v>17.163761</v>
      </c>
      <c r="K18" s="281">
        <f t="shared" si="3"/>
        <v>19.736286</v>
      </c>
      <c r="L18" s="282">
        <f t="shared" si="2"/>
        <v>55.159175</v>
      </c>
      <c r="M18" s="283">
        <f t="shared" si="4"/>
        <v>85.22346587597032</v>
      </c>
      <c r="N18" s="284">
        <f t="shared" si="4"/>
        <v>8.662571843928271</v>
      </c>
      <c r="O18" s="284">
        <f t="shared" si="4"/>
        <v>24.803730738834297</v>
      </c>
      <c r="P18" s="284">
        <f t="shared" si="4"/>
        <v>19.956744968588808</v>
      </c>
      <c r="Q18" s="285">
        <f t="shared" si="4"/>
        <v>39.27037135952748</v>
      </c>
      <c r="S18" s="276"/>
      <c r="T18" s="277"/>
      <c r="U18" s="277"/>
      <c r="V18" s="276"/>
      <c r="AA18" s="160">
        <v>0.284617</v>
      </c>
      <c r="AB18" s="160">
        <f>AA18/AA19*100</f>
        <v>0.7527725488131013</v>
      </c>
    </row>
    <row r="19" spans="1:28" s="275" customFormat="1" ht="24.75" customHeight="1">
      <c r="A19" s="278">
        <v>8</v>
      </c>
      <c r="B19" s="279" t="s">
        <v>171</v>
      </c>
      <c r="C19" s="280">
        <v>40.773116</v>
      </c>
      <c r="D19" s="281">
        <v>44.623054</v>
      </c>
      <c r="E19" s="281">
        <v>121.43094</v>
      </c>
      <c r="F19" s="281">
        <f t="shared" si="0"/>
        <v>166.05399400000002</v>
      </c>
      <c r="G19" s="282">
        <f t="shared" si="1"/>
        <v>206.82711</v>
      </c>
      <c r="H19" s="280">
        <v>33.738604</v>
      </c>
      <c r="I19" s="281">
        <v>3.556263</v>
      </c>
      <c r="J19" s="281">
        <v>27.428658</v>
      </c>
      <c r="K19" s="281">
        <f t="shared" si="3"/>
        <v>30.984921</v>
      </c>
      <c r="L19" s="282">
        <f t="shared" si="2"/>
        <v>64.723525</v>
      </c>
      <c r="M19" s="283">
        <f t="shared" si="4"/>
        <v>82.7471807648942</v>
      </c>
      <c r="N19" s="284">
        <f t="shared" si="4"/>
        <v>7.9695643422343965</v>
      </c>
      <c r="O19" s="284">
        <f t="shared" si="4"/>
        <v>22.58786599197865</v>
      </c>
      <c r="P19" s="284">
        <f t="shared" si="4"/>
        <v>18.659545761964626</v>
      </c>
      <c r="Q19" s="285">
        <f t="shared" si="4"/>
        <v>31.29354029072881</v>
      </c>
      <c r="S19" s="276"/>
      <c r="T19" s="277"/>
      <c r="U19" s="277"/>
      <c r="V19" s="276"/>
      <c r="AA19" s="160">
        <f>SUM(AA13:AA18)</f>
        <v>37.809163</v>
      </c>
      <c r="AB19" s="160">
        <f>AA19/AA19*100</f>
        <v>100</v>
      </c>
    </row>
    <row r="20" spans="1:22" s="275" customFormat="1" ht="24.75" customHeight="1">
      <c r="A20" s="278">
        <v>9</v>
      </c>
      <c r="B20" s="279" t="s">
        <v>172</v>
      </c>
      <c r="C20" s="286">
        <v>39.415963</v>
      </c>
      <c r="D20" s="281">
        <v>68.380974</v>
      </c>
      <c r="E20" s="281">
        <v>192.355029</v>
      </c>
      <c r="F20" s="281">
        <f t="shared" si="0"/>
        <v>260.736003</v>
      </c>
      <c r="G20" s="282">
        <f t="shared" si="1"/>
        <v>300.15196599999996</v>
      </c>
      <c r="H20" s="280">
        <v>31.552296</v>
      </c>
      <c r="I20" s="281">
        <v>4.577732</v>
      </c>
      <c r="J20" s="281">
        <v>36.20904</v>
      </c>
      <c r="K20" s="281">
        <f t="shared" si="3"/>
        <v>40.786772</v>
      </c>
      <c r="L20" s="282">
        <f t="shared" si="2"/>
        <v>72.339068</v>
      </c>
      <c r="M20" s="283">
        <f t="shared" si="4"/>
        <v>80.04953729025979</v>
      </c>
      <c r="N20" s="284">
        <f t="shared" si="4"/>
        <v>6.694452758160479</v>
      </c>
      <c r="O20" s="284">
        <f t="shared" si="4"/>
        <v>18.82406724078943</v>
      </c>
      <c r="P20" s="284">
        <f t="shared" si="4"/>
        <v>15.642938271167713</v>
      </c>
      <c r="Q20" s="285">
        <f t="shared" si="4"/>
        <v>24.10081431883741</v>
      </c>
      <c r="S20" s="335"/>
      <c r="T20" s="277"/>
      <c r="U20" s="277"/>
      <c r="V20" s="276"/>
    </row>
    <row r="21" spans="1:22" s="275" customFormat="1" ht="24.75" customHeight="1">
      <c r="A21" s="278">
        <v>10</v>
      </c>
      <c r="B21" s="279" t="s">
        <v>173</v>
      </c>
      <c r="C21" s="280">
        <v>37.905555</v>
      </c>
      <c r="D21" s="281">
        <v>102.952086</v>
      </c>
      <c r="E21" s="281">
        <v>288.390629</v>
      </c>
      <c r="F21" s="281">
        <f t="shared" si="0"/>
        <v>391.342715</v>
      </c>
      <c r="G21" s="282">
        <f t="shared" si="1"/>
        <v>429.24827</v>
      </c>
      <c r="H21" s="280">
        <v>29.346431</v>
      </c>
      <c r="I21" s="281">
        <v>5.433038</v>
      </c>
      <c r="J21" s="281">
        <v>46.711196</v>
      </c>
      <c r="K21" s="281">
        <f t="shared" si="3"/>
        <v>52.144234</v>
      </c>
      <c r="L21" s="282">
        <f t="shared" si="2"/>
        <v>81.49066499999999</v>
      </c>
      <c r="M21" s="283">
        <f t="shared" si="4"/>
        <v>77.4198689347775</v>
      </c>
      <c r="N21" s="284">
        <f t="shared" si="4"/>
        <v>5.277249069047518</v>
      </c>
      <c r="O21" s="284">
        <f t="shared" si="4"/>
        <v>16.19719619946458</v>
      </c>
      <c r="P21" s="284">
        <f t="shared" si="4"/>
        <v>13.324442234730242</v>
      </c>
      <c r="Q21" s="285">
        <f t="shared" si="4"/>
        <v>18.98450633243088</v>
      </c>
      <c r="S21" s="335"/>
      <c r="T21" s="277"/>
      <c r="U21" s="277"/>
      <c r="V21" s="276"/>
    </row>
    <row r="22" spans="1:27" s="275" customFormat="1" ht="24.75" customHeight="1">
      <c r="A22" s="287">
        <v>11</v>
      </c>
      <c r="B22" s="288" t="s">
        <v>151</v>
      </c>
      <c r="C22" s="289">
        <v>36.942204999999994</v>
      </c>
      <c r="D22" s="291">
        <v>162.727327</v>
      </c>
      <c r="E22" s="290">
        <v>421.6797219999999</v>
      </c>
      <c r="F22" s="291">
        <f t="shared" si="0"/>
        <v>584.4070489999999</v>
      </c>
      <c r="G22" s="292">
        <f t="shared" si="1"/>
        <v>621.3492539999999</v>
      </c>
      <c r="H22" s="289">
        <v>27.83056</v>
      </c>
      <c r="I22" s="291">
        <v>6.144929</v>
      </c>
      <c r="J22" s="291">
        <v>63.305083</v>
      </c>
      <c r="K22" s="291">
        <f t="shared" si="3"/>
        <v>69.450012</v>
      </c>
      <c r="L22" s="292">
        <f t="shared" si="2"/>
        <v>97.280572</v>
      </c>
      <c r="M22" s="293">
        <f t="shared" si="4"/>
        <v>75.33540566947751</v>
      </c>
      <c r="N22" s="294">
        <f t="shared" si="4"/>
        <v>3.7762120925147378</v>
      </c>
      <c r="O22" s="294">
        <f t="shared" si="4"/>
        <v>15.012598353022064</v>
      </c>
      <c r="P22" s="294">
        <f t="shared" si="4"/>
        <v>11.88384228404473</v>
      </c>
      <c r="Q22" s="295">
        <f t="shared" si="4"/>
        <v>15.656343252003008</v>
      </c>
      <c r="S22" s="335"/>
      <c r="T22" s="277"/>
      <c r="U22" s="277"/>
      <c r="V22" s="276"/>
      <c r="AA22" s="275">
        <v>162044</v>
      </c>
    </row>
    <row r="23" spans="1:22" s="275" customFormat="1" ht="24.75" customHeight="1">
      <c r="A23" s="287">
        <v>12</v>
      </c>
      <c r="B23" s="288" t="s">
        <v>190</v>
      </c>
      <c r="C23" s="289">
        <v>34.724279</v>
      </c>
      <c r="D23" s="291">
        <v>225.920431</v>
      </c>
      <c r="E23" s="290">
        <v>585.6803009999999</v>
      </c>
      <c r="F23" s="291">
        <f t="shared" si="0"/>
        <v>811.6007319999999</v>
      </c>
      <c r="G23" s="292">
        <f t="shared" si="1"/>
        <v>846.3250109999999</v>
      </c>
      <c r="H23" s="289">
        <v>25.224905</v>
      </c>
      <c r="I23" s="291">
        <v>5.565437</v>
      </c>
      <c r="J23" s="291">
        <v>86.268689</v>
      </c>
      <c r="K23" s="291">
        <f>SUM(I23:J23)</f>
        <v>91.834126</v>
      </c>
      <c r="L23" s="292">
        <f>H23+K23</f>
        <v>117.059031</v>
      </c>
      <c r="M23" s="293">
        <f aca="true" t="shared" si="5" ref="M23:Q26">H23/C23*100</f>
        <v>72.64342335228903</v>
      </c>
      <c r="N23" s="294">
        <f t="shared" si="5"/>
        <v>2.463450063088805</v>
      </c>
      <c r="O23" s="294">
        <f t="shared" si="5"/>
        <v>14.72965521508978</v>
      </c>
      <c r="P23" s="294">
        <f t="shared" si="5"/>
        <v>11.315185211045375</v>
      </c>
      <c r="Q23" s="295">
        <f t="shared" si="5"/>
        <v>13.83145121301396</v>
      </c>
      <c r="S23" s="335"/>
      <c r="T23" s="277"/>
      <c r="U23" s="277"/>
      <c r="V23" s="276">
        <f>T23-T20</f>
        <v>0</v>
      </c>
    </row>
    <row r="24" spans="1:22" s="275" customFormat="1" ht="24.75" customHeight="1">
      <c r="A24" s="287">
        <v>13</v>
      </c>
      <c r="B24" s="288" t="s">
        <v>198</v>
      </c>
      <c r="C24" s="289">
        <v>32.15114</v>
      </c>
      <c r="D24" s="291">
        <v>224.340209</v>
      </c>
      <c r="E24" s="290">
        <v>695.756599</v>
      </c>
      <c r="F24" s="291">
        <f t="shared" si="0"/>
        <v>920.096808</v>
      </c>
      <c r="G24" s="292">
        <f t="shared" si="1"/>
        <v>952.247948</v>
      </c>
      <c r="H24" s="289">
        <v>22.467732</v>
      </c>
      <c r="I24" s="291">
        <v>4.003914</v>
      </c>
      <c r="J24" s="291">
        <v>94.509074</v>
      </c>
      <c r="K24" s="291">
        <f>SUM(I24:J24)</f>
        <v>98.51298799999999</v>
      </c>
      <c r="L24" s="292">
        <f>H24+K24</f>
        <v>120.98071999999999</v>
      </c>
      <c r="M24" s="293">
        <f aca="true" t="shared" si="6" ref="M24:Q25">H24/C24*100</f>
        <v>69.88160295404768</v>
      </c>
      <c r="N24" s="294">
        <f t="shared" si="6"/>
        <v>1.7847509449364918</v>
      </c>
      <c r="O24" s="294">
        <f t="shared" si="6"/>
        <v>13.583640332817021</v>
      </c>
      <c r="P24" s="294">
        <f t="shared" si="6"/>
        <v>10.706806842872995</v>
      </c>
      <c r="Q24" s="295">
        <f t="shared" si="6"/>
        <v>12.70474987676214</v>
      </c>
      <c r="S24" s="335"/>
      <c r="T24" s="277"/>
      <c r="U24" s="277"/>
      <c r="V24" s="276"/>
    </row>
    <row r="25" spans="1:22" s="275" customFormat="1" ht="24.75" customHeight="1">
      <c r="A25" s="287">
        <v>14</v>
      </c>
      <c r="B25" s="288" t="s">
        <v>204</v>
      </c>
      <c r="C25" s="289">
        <v>30.207668</v>
      </c>
      <c r="D25" s="291">
        <v>170.894202</v>
      </c>
      <c r="E25" s="290">
        <v>696.8919029999998</v>
      </c>
      <c r="F25" s="291">
        <f>SUM(D25:E25)</f>
        <v>867.7861049999999</v>
      </c>
      <c r="G25" s="292">
        <f>C25+F25</f>
        <v>897.9937729999999</v>
      </c>
      <c r="H25" s="289">
        <v>20.446062</v>
      </c>
      <c r="I25" s="291">
        <v>2.701813</v>
      </c>
      <c r="J25" s="291">
        <v>98.504812</v>
      </c>
      <c r="K25" s="291">
        <f>SUM(I25:J25)</f>
        <v>101.206625</v>
      </c>
      <c r="L25" s="292">
        <f>H25+K25</f>
        <v>121.652687</v>
      </c>
      <c r="M25" s="293">
        <f t="shared" si="6"/>
        <v>67.68500633680164</v>
      </c>
      <c r="N25" s="294">
        <f t="shared" si="6"/>
        <v>1.580985761003173</v>
      </c>
      <c r="O25" s="294">
        <f t="shared" si="6"/>
        <v>14.134876811734177</v>
      </c>
      <c r="P25" s="294">
        <f t="shared" si="6"/>
        <v>11.662623360395937</v>
      </c>
      <c r="Q25" s="295">
        <f t="shared" si="6"/>
        <v>13.547163761902837</v>
      </c>
      <c r="S25" s="335"/>
      <c r="T25" s="277"/>
      <c r="U25" s="277"/>
      <c r="V25" s="276"/>
    </row>
    <row r="26" spans="1:22" s="275" customFormat="1" ht="24.75" customHeight="1" thickBot="1">
      <c r="A26" s="270">
        <v>15</v>
      </c>
      <c r="B26" s="298" t="s">
        <v>244</v>
      </c>
      <c r="C26" s="297">
        <f>'Anne-2'!C22</f>
        <v>28.716076999999995</v>
      </c>
      <c r="D26" s="299">
        <f>'Anne-2'!D22</f>
        <v>159.982104</v>
      </c>
      <c r="E26" s="299">
        <f>'Anne-2'!E22</f>
        <v>733.3565570000002</v>
      </c>
      <c r="F26" s="296">
        <f t="shared" si="0"/>
        <v>893.3386610000002</v>
      </c>
      <c r="G26" s="272">
        <f t="shared" si="1"/>
        <v>922.0547380000003</v>
      </c>
      <c r="H26" s="297">
        <f>'Anne-2'!C9</f>
        <v>18.754527</v>
      </c>
      <c r="I26" s="299">
        <f>'Anne-2'!D9</f>
        <v>2.288459</v>
      </c>
      <c r="J26" s="299">
        <f>'Anne-2'!E9</f>
        <v>92.428456</v>
      </c>
      <c r="K26" s="296">
        <f t="shared" si="3"/>
        <v>94.716915</v>
      </c>
      <c r="L26" s="272">
        <f t="shared" si="2"/>
        <v>113.471442</v>
      </c>
      <c r="M26" s="297">
        <f t="shared" si="5"/>
        <v>65.31019888266772</v>
      </c>
      <c r="N26" s="273">
        <f t="shared" si="5"/>
        <v>1.4304468704824636</v>
      </c>
      <c r="O26" s="273">
        <f t="shared" si="5"/>
        <v>12.603481228572416</v>
      </c>
      <c r="P26" s="273">
        <f t="shared" si="5"/>
        <v>10.602576507096897</v>
      </c>
      <c r="Q26" s="274">
        <f t="shared" si="5"/>
        <v>12.30636721699704</v>
      </c>
      <c r="S26" s="335"/>
      <c r="T26" s="277"/>
      <c r="V26" s="275">
        <f>V23/4</f>
        <v>0</v>
      </c>
    </row>
    <row r="27" ht="15">
      <c r="D27" s="74"/>
    </row>
    <row r="30" spans="6:11" ht="15">
      <c r="F30" s="161">
        <f>(F26-F22)/F22*100</f>
        <v>52.86240344441847</v>
      </c>
      <c r="K30" s="26">
        <f>(K26-K22)/K22*100</f>
        <v>36.381423519408465</v>
      </c>
    </row>
    <row r="35" spans="8:9" ht="15">
      <c r="H35" s="728"/>
      <c r="I35" s="728"/>
    </row>
    <row r="36" spans="8:9" ht="15">
      <c r="H36" s="728"/>
      <c r="I36" s="728"/>
    </row>
    <row r="37" spans="8:9" ht="15">
      <c r="H37" s="728"/>
      <c r="I37" s="728"/>
    </row>
    <row r="38" spans="8:9" ht="15">
      <c r="H38" s="728"/>
      <c r="I38" s="728"/>
    </row>
    <row r="43" ht="15">
      <c r="H43" s="369"/>
    </row>
  </sheetData>
  <sheetProtection/>
  <mergeCells count="38">
    <mergeCell ref="H37:I37"/>
    <mergeCell ref="H38:I38"/>
    <mergeCell ref="M8:N8"/>
    <mergeCell ref="O8:P8"/>
    <mergeCell ref="I11:K11"/>
    <mergeCell ref="L11:L12"/>
    <mergeCell ref="H35:I35"/>
    <mergeCell ref="H36:I36"/>
    <mergeCell ref="M11:M12"/>
    <mergeCell ref="N11:P11"/>
    <mergeCell ref="D11:F11"/>
    <mergeCell ref="Q6:Q7"/>
    <mergeCell ref="O6:P7"/>
    <mergeCell ref="A5:A7"/>
    <mergeCell ref="B5:B7"/>
    <mergeCell ref="C5:G5"/>
    <mergeCell ref="H5:L5"/>
    <mergeCell ref="L6:L7"/>
    <mergeCell ref="J6:K7"/>
    <mergeCell ref="M5:Q5"/>
    <mergeCell ref="C8:D8"/>
    <mergeCell ref="E8:F8"/>
    <mergeCell ref="H8:I8"/>
    <mergeCell ref="J8:K8"/>
    <mergeCell ref="E6:F7"/>
    <mergeCell ref="G6:G7"/>
    <mergeCell ref="H6:I7"/>
    <mergeCell ref="C6:D7"/>
    <mergeCell ref="M6:N7"/>
    <mergeCell ref="Q11:Q12"/>
    <mergeCell ref="A10:A12"/>
    <mergeCell ref="B10:B12"/>
    <mergeCell ref="C10:G10"/>
    <mergeCell ref="H10:L10"/>
    <mergeCell ref="M10:Q10"/>
    <mergeCell ref="G11:G12"/>
    <mergeCell ref="H11:H12"/>
    <mergeCell ref="C11:C12"/>
  </mergeCells>
  <printOptions horizontalCentered="1" vertic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92" r:id="rId1"/>
  <colBreaks count="1" manualBreakCount="1">
    <brk id="1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19" sqref="N19"/>
    </sheetView>
  </sheetViews>
  <sheetFormatPr defaultColWidth="9.140625" defaultRowHeight="12.75"/>
  <cols>
    <col min="1" max="1" width="9.140625" style="305" customWidth="1"/>
    <col min="2" max="6" width="9.421875" style="305" customWidth="1"/>
    <col min="7" max="9" width="10.140625" style="305" customWidth="1"/>
    <col min="10" max="10" width="10.57421875" style="305" customWidth="1"/>
    <col min="11" max="11" width="10.140625" style="305" customWidth="1"/>
    <col min="12" max="15" width="9.421875" style="305" customWidth="1"/>
    <col min="16" max="16" width="10.00390625" style="305" customWidth="1"/>
    <col min="17" max="17" width="9.140625" style="305" customWidth="1"/>
    <col min="18" max="18" width="22.8515625" style="305" customWidth="1"/>
    <col min="19" max="16384" width="9.140625" style="305" customWidth="1"/>
  </cols>
  <sheetData>
    <row r="1" spans="1:15" ht="15.75">
      <c r="A1" s="304" t="s">
        <v>256</v>
      </c>
      <c r="O1" s="304" t="s">
        <v>185</v>
      </c>
    </row>
    <row r="2" ht="15.75" thickBot="1"/>
    <row r="3" spans="1:16" ht="15">
      <c r="A3" s="746" t="s">
        <v>181</v>
      </c>
      <c r="B3" s="749" t="s">
        <v>182</v>
      </c>
      <c r="C3" s="750"/>
      <c r="D3" s="750"/>
      <c r="E3" s="750"/>
      <c r="F3" s="751"/>
      <c r="G3" s="749" t="s">
        <v>183</v>
      </c>
      <c r="H3" s="750"/>
      <c r="I3" s="750"/>
      <c r="J3" s="750"/>
      <c r="K3" s="751"/>
      <c r="L3" s="749" t="s">
        <v>120</v>
      </c>
      <c r="M3" s="750"/>
      <c r="N3" s="750"/>
      <c r="O3" s="750"/>
      <c r="P3" s="751"/>
    </row>
    <row r="4" spans="1:16" ht="15">
      <c r="A4" s="747"/>
      <c r="B4" s="743" t="s">
        <v>184</v>
      </c>
      <c r="C4" s="745" t="s">
        <v>141</v>
      </c>
      <c r="D4" s="745"/>
      <c r="E4" s="745"/>
      <c r="F4" s="741" t="s">
        <v>70</v>
      </c>
      <c r="G4" s="743" t="s">
        <v>184</v>
      </c>
      <c r="H4" s="745" t="s">
        <v>141</v>
      </c>
      <c r="I4" s="745"/>
      <c r="J4" s="745"/>
      <c r="K4" s="741" t="s">
        <v>70</v>
      </c>
      <c r="L4" s="743" t="s">
        <v>184</v>
      </c>
      <c r="M4" s="745" t="s">
        <v>141</v>
      </c>
      <c r="N4" s="745"/>
      <c r="O4" s="745"/>
      <c r="P4" s="741" t="s">
        <v>70</v>
      </c>
    </row>
    <row r="5" spans="1:16" ht="15.75" thickBot="1">
      <c r="A5" s="748"/>
      <c r="B5" s="744"/>
      <c r="C5" s="306" t="s">
        <v>140</v>
      </c>
      <c r="D5" s="306" t="s">
        <v>131</v>
      </c>
      <c r="E5" s="306" t="s">
        <v>47</v>
      </c>
      <c r="F5" s="742"/>
      <c r="G5" s="744"/>
      <c r="H5" s="306" t="s">
        <v>140</v>
      </c>
      <c r="I5" s="306" t="s">
        <v>131</v>
      </c>
      <c r="J5" s="306" t="s">
        <v>47</v>
      </c>
      <c r="K5" s="742"/>
      <c r="L5" s="744"/>
      <c r="M5" s="306" t="s">
        <v>140</v>
      </c>
      <c r="N5" s="306" t="s">
        <v>131</v>
      </c>
      <c r="O5" s="306" t="s">
        <v>47</v>
      </c>
      <c r="P5" s="742"/>
    </row>
    <row r="6" spans="1:18" ht="15.75" customHeight="1">
      <c r="A6" s="371">
        <v>41000</v>
      </c>
      <c r="B6" s="307">
        <v>-2.84062</v>
      </c>
      <c r="C6" s="308">
        <v>-3.58766</v>
      </c>
      <c r="D6" s="308">
        <v>-3.59284</v>
      </c>
      <c r="E6" s="308">
        <v>-7.1805</v>
      </c>
      <c r="F6" s="309">
        <v>-10.02112</v>
      </c>
      <c r="G6" s="307">
        <v>-2.75705</v>
      </c>
      <c r="H6" s="308">
        <v>62.10981</v>
      </c>
      <c r="I6" s="308">
        <v>-1.55431</v>
      </c>
      <c r="J6" s="308">
        <v>60.5555</v>
      </c>
      <c r="K6" s="309">
        <v>57.79845</v>
      </c>
      <c r="L6" s="502"/>
      <c r="M6" s="496"/>
      <c r="N6" s="496"/>
      <c r="O6" s="496"/>
      <c r="P6" s="497"/>
      <c r="R6" s="305">
        <f>H6*100000</f>
        <v>6210981</v>
      </c>
    </row>
    <row r="7" spans="1:16" ht="15.75" customHeight="1">
      <c r="A7" s="372">
        <v>41030</v>
      </c>
      <c r="B7" s="310">
        <v>-3.64006</v>
      </c>
      <c r="C7" s="311">
        <v>-0.22519</v>
      </c>
      <c r="D7" s="311">
        <v>-0.5929</v>
      </c>
      <c r="E7" s="311">
        <v>-0.81809</v>
      </c>
      <c r="F7" s="312">
        <v>-4.45815</v>
      </c>
      <c r="G7" s="310">
        <v>-3.5875</v>
      </c>
      <c r="H7" s="311">
        <v>21.20285</v>
      </c>
      <c r="I7" s="311">
        <v>11.13474</v>
      </c>
      <c r="J7" s="311">
        <v>32.337590000000006</v>
      </c>
      <c r="K7" s="312">
        <v>28.750090000000007</v>
      </c>
      <c r="L7" s="503"/>
      <c r="M7" s="493"/>
      <c r="N7" s="493"/>
      <c r="O7" s="493"/>
      <c r="P7" s="498"/>
    </row>
    <row r="8" spans="1:16" ht="15.75" customHeight="1">
      <c r="A8" s="372">
        <v>41061</v>
      </c>
      <c r="B8" s="310">
        <v>-1.09442</v>
      </c>
      <c r="C8" s="311">
        <v>6.5999</v>
      </c>
      <c r="D8" s="311">
        <v>-0.95842</v>
      </c>
      <c r="E8" s="311">
        <v>5.64148</v>
      </c>
      <c r="F8" s="312">
        <v>4.54706</v>
      </c>
      <c r="G8" s="310">
        <v>-1.17242</v>
      </c>
      <c r="H8" s="311">
        <v>64.93745</v>
      </c>
      <c r="I8" s="311">
        <v>-44.59592</v>
      </c>
      <c r="J8" s="311">
        <v>20.34153</v>
      </c>
      <c r="K8" s="312">
        <v>19.16911</v>
      </c>
      <c r="L8" s="503"/>
      <c r="M8" s="512">
        <f>C8/H8*100</f>
        <v>10.163472695647888</v>
      </c>
      <c r="N8" s="493"/>
      <c r="O8" s="512">
        <f>E8/J8*100</f>
        <v>27.733803701098196</v>
      </c>
      <c r="P8" s="513">
        <f>F8/K8*100</f>
        <v>23.720767422170358</v>
      </c>
    </row>
    <row r="9" spans="1:16" ht="15.75" customHeight="1">
      <c r="A9" s="372">
        <v>41091</v>
      </c>
      <c r="B9" s="310">
        <v>-0.94857</v>
      </c>
      <c r="C9" s="311">
        <v>6.81866</v>
      </c>
      <c r="D9" s="311">
        <v>-2.10314</v>
      </c>
      <c r="E9" s="311">
        <v>4.715520000000001</v>
      </c>
      <c r="F9" s="312">
        <v>3.7669500000000005</v>
      </c>
      <c r="G9" s="310">
        <v>-0.72608</v>
      </c>
      <c r="H9" s="311">
        <v>24.69893</v>
      </c>
      <c r="I9" s="311">
        <v>-203.53081</v>
      </c>
      <c r="J9" s="311">
        <v>-178.83188</v>
      </c>
      <c r="K9" s="312">
        <v>-179.55796</v>
      </c>
      <c r="L9" s="503"/>
      <c r="M9" s="512">
        <f>C9/H9*100</f>
        <v>27.60710686657276</v>
      </c>
      <c r="N9" s="493"/>
      <c r="O9" s="493"/>
      <c r="P9" s="498"/>
    </row>
    <row r="10" spans="1:16" ht="15.75" customHeight="1">
      <c r="A10" s="372">
        <v>41122</v>
      </c>
      <c r="B10" s="310">
        <v>-1.24371</v>
      </c>
      <c r="C10" s="311">
        <v>5.82018</v>
      </c>
      <c r="D10" s="311">
        <v>-0.90656</v>
      </c>
      <c r="E10" s="311">
        <v>4.91362</v>
      </c>
      <c r="F10" s="312">
        <v>3.66991</v>
      </c>
      <c r="G10" s="310">
        <v>-1.1894</v>
      </c>
      <c r="H10" s="311">
        <v>-65.23839</v>
      </c>
      <c r="I10" s="311">
        <v>13.48999</v>
      </c>
      <c r="J10" s="311">
        <v>-51.7484</v>
      </c>
      <c r="K10" s="312">
        <v>-52.937799999999996</v>
      </c>
      <c r="L10" s="503"/>
      <c r="M10" s="493"/>
      <c r="N10" s="493"/>
      <c r="O10" s="493"/>
      <c r="P10" s="498"/>
    </row>
    <row r="11" spans="1:16" ht="15.75" customHeight="1">
      <c r="A11" s="372">
        <v>41153</v>
      </c>
      <c r="B11" s="317">
        <v>-1.27945</v>
      </c>
      <c r="C11" s="318">
        <v>4.54957</v>
      </c>
      <c r="D11" s="318">
        <v>-0.61941</v>
      </c>
      <c r="E11" s="311">
        <v>3.93016</v>
      </c>
      <c r="F11" s="312">
        <v>2.65071</v>
      </c>
      <c r="G11" s="317">
        <v>-1.25615</v>
      </c>
      <c r="H11" s="318">
        <v>-14.21437</v>
      </c>
      <c r="I11" s="318">
        <v>-3.24297</v>
      </c>
      <c r="J11" s="311">
        <v>-17.457340000000002</v>
      </c>
      <c r="K11" s="312">
        <v>-18.713490000000004</v>
      </c>
      <c r="L11" s="503"/>
      <c r="M11" s="493"/>
      <c r="N11" s="493"/>
      <c r="O11" s="493"/>
      <c r="P11" s="498"/>
    </row>
    <row r="12" spans="1:16" ht="15.75" customHeight="1">
      <c r="A12" s="372">
        <v>41183</v>
      </c>
      <c r="B12" s="317">
        <v>-1.46914</v>
      </c>
      <c r="C12" s="318">
        <v>4.38323</v>
      </c>
      <c r="D12" s="318">
        <v>-0.81175</v>
      </c>
      <c r="E12" s="311">
        <v>3.57148</v>
      </c>
      <c r="F12" s="312">
        <v>2.1023400000000003</v>
      </c>
      <c r="G12" s="317">
        <v>-1.38132</v>
      </c>
      <c r="H12" s="318">
        <v>5.97524</v>
      </c>
      <c r="I12" s="318">
        <v>-29.35126</v>
      </c>
      <c r="J12" s="311">
        <v>-23.37602</v>
      </c>
      <c r="K12" s="312">
        <v>-24.75734</v>
      </c>
      <c r="L12" s="503"/>
      <c r="M12" s="512">
        <f>C12/H12*100</f>
        <v>73.35655136864794</v>
      </c>
      <c r="N12" s="493"/>
      <c r="O12" s="493"/>
      <c r="P12" s="498"/>
    </row>
    <row r="13" spans="1:16" ht="15.75" customHeight="1">
      <c r="A13" s="509">
        <v>41214</v>
      </c>
      <c r="B13" s="317">
        <v>-0.80704</v>
      </c>
      <c r="C13" s="318">
        <v>-0.30571</v>
      </c>
      <c r="D13" s="318">
        <v>-0.5045</v>
      </c>
      <c r="E13" s="318">
        <v>-0.8102099999999999</v>
      </c>
      <c r="F13" s="510">
        <v>-1.6172499999999999</v>
      </c>
      <c r="G13" s="317">
        <v>-0.76737</v>
      </c>
      <c r="H13" s="318">
        <v>-90.19644</v>
      </c>
      <c r="I13" s="318">
        <v>-46.26362</v>
      </c>
      <c r="J13" s="318">
        <v>-136.46006</v>
      </c>
      <c r="K13" s="510">
        <v>-137.22743</v>
      </c>
      <c r="L13" s="504"/>
      <c r="M13" s="499"/>
      <c r="N13" s="499"/>
      <c r="O13" s="499"/>
      <c r="P13" s="500"/>
    </row>
    <row r="14" spans="1:16" ht="15.75" customHeight="1">
      <c r="A14" s="509">
        <v>41244</v>
      </c>
      <c r="B14" s="317">
        <v>-0.94327</v>
      </c>
      <c r="C14" s="318">
        <v>1.78405</v>
      </c>
      <c r="D14" s="318">
        <v>-1.65392</v>
      </c>
      <c r="E14" s="318">
        <v>0.13012999999999986</v>
      </c>
      <c r="F14" s="510">
        <v>-0.8131400000000002</v>
      </c>
      <c r="G14" s="317">
        <v>-0.83371</v>
      </c>
      <c r="H14" s="318">
        <v>-66.62281</v>
      </c>
      <c r="I14" s="318">
        <v>-192.159</v>
      </c>
      <c r="J14" s="318">
        <v>-258.78181</v>
      </c>
      <c r="K14" s="510">
        <v>-259.61552</v>
      </c>
      <c r="L14" s="504"/>
      <c r="M14" s="499"/>
      <c r="N14" s="499"/>
      <c r="O14" s="499"/>
      <c r="P14" s="500"/>
    </row>
    <row r="15" spans="1:16" ht="15.75" customHeight="1">
      <c r="A15" s="509">
        <v>41275</v>
      </c>
      <c r="B15" s="317">
        <v>-2.81497</v>
      </c>
      <c r="C15" s="318">
        <v>3.68356</v>
      </c>
      <c r="D15" s="318">
        <v>-0.4981</v>
      </c>
      <c r="E15" s="318">
        <v>3.18546</v>
      </c>
      <c r="F15" s="510">
        <v>0.37048999999999976</v>
      </c>
      <c r="G15" s="317">
        <v>-2.64825</v>
      </c>
      <c r="H15" s="318">
        <v>18.2383</v>
      </c>
      <c r="I15" s="318">
        <v>-38.32713</v>
      </c>
      <c r="J15" s="318">
        <v>-20.088829999999998</v>
      </c>
      <c r="K15" s="510">
        <v>-22.73708</v>
      </c>
      <c r="L15" s="504"/>
      <c r="M15" s="512">
        <f>C15/H15*100</f>
        <v>20.196838521134097</v>
      </c>
      <c r="N15" s="499"/>
      <c r="O15" s="499"/>
      <c r="P15" s="500"/>
    </row>
    <row r="16" spans="1:16" s="304" customFormat="1" ht="15.75" customHeight="1" thickBot="1">
      <c r="A16" s="384" t="s">
        <v>47</v>
      </c>
      <c r="B16" s="313">
        <f>SUM(B6:B15)</f>
        <v>-17.08125</v>
      </c>
      <c r="C16" s="314">
        <f aca="true" t="shared" si="0" ref="C16:K16">SUM(C6:C15)</f>
        <v>29.52059</v>
      </c>
      <c r="D16" s="314">
        <f t="shared" si="0"/>
        <v>-12.24154</v>
      </c>
      <c r="E16" s="314">
        <f t="shared" si="0"/>
        <v>17.279049999999998</v>
      </c>
      <c r="F16" s="315">
        <f t="shared" si="0"/>
        <v>0.19780000000000086</v>
      </c>
      <c r="G16" s="313">
        <f t="shared" si="0"/>
        <v>-16.31925</v>
      </c>
      <c r="H16" s="314">
        <f t="shared" si="0"/>
        <v>-39.10943</v>
      </c>
      <c r="I16" s="314">
        <f t="shared" si="0"/>
        <v>-534.40029</v>
      </c>
      <c r="J16" s="314">
        <f t="shared" si="0"/>
        <v>-573.5097200000001</v>
      </c>
      <c r="K16" s="315">
        <f t="shared" si="0"/>
        <v>-589.8289699999999</v>
      </c>
      <c r="L16" s="505"/>
      <c r="M16" s="494"/>
      <c r="N16" s="494"/>
      <c r="O16" s="494"/>
      <c r="P16" s="501"/>
    </row>
    <row r="17" spans="1:16" s="304" customFormat="1" ht="15.75" customHeight="1">
      <c r="A17" s="509">
        <v>41365</v>
      </c>
      <c r="B17" s="317">
        <v>-2.80336</v>
      </c>
      <c r="C17" s="318">
        <v>-21.48903</v>
      </c>
      <c r="D17" s="318">
        <v>-0.87138</v>
      </c>
      <c r="E17" s="318">
        <f aca="true" t="shared" si="1" ref="E17:E22">SUM(C17:D17)</f>
        <v>-22.360409999999998</v>
      </c>
      <c r="F17" s="510">
        <f>B17+E17</f>
        <v>-25.16377</v>
      </c>
      <c r="G17" s="317">
        <v>-3.07771</v>
      </c>
      <c r="H17" s="318">
        <v>16.437789988292455</v>
      </c>
      <c r="I17" s="318">
        <v>-23.22487</v>
      </c>
      <c r="J17" s="318">
        <f>SUM(H17:I17)</f>
        <v>-6.787080011707545</v>
      </c>
      <c r="K17" s="510">
        <f>J17+G17</f>
        <v>-9.864790011707544</v>
      </c>
      <c r="L17" s="506"/>
      <c r="M17" s="507"/>
      <c r="N17" s="507"/>
      <c r="O17" s="507"/>
      <c r="P17" s="508"/>
    </row>
    <row r="18" spans="1:16" s="304" customFormat="1" ht="15.75" customHeight="1">
      <c r="A18" s="509">
        <v>41395</v>
      </c>
      <c r="B18" s="317">
        <v>-1.49936</v>
      </c>
      <c r="C18" s="318">
        <v>-8.83479</v>
      </c>
      <c r="D18" s="318">
        <v>-0.2079</v>
      </c>
      <c r="E18" s="318">
        <f t="shared" si="1"/>
        <v>-9.04269</v>
      </c>
      <c r="F18" s="510">
        <f>B18+E18</f>
        <v>-10.54205</v>
      </c>
      <c r="G18" s="317">
        <v>-0.51245</v>
      </c>
      <c r="H18" s="318">
        <v>22.609780011707546</v>
      </c>
      <c r="I18" s="318">
        <v>9.85827</v>
      </c>
      <c r="J18" s="318">
        <f>SUM(H18:I18)</f>
        <v>32.46805001170755</v>
      </c>
      <c r="K18" s="510">
        <f>J18+G18</f>
        <v>31.955600011707546</v>
      </c>
      <c r="L18" s="506"/>
      <c r="M18" s="507"/>
      <c r="N18" s="507"/>
      <c r="O18" s="507"/>
      <c r="P18" s="508"/>
    </row>
    <row r="19" spans="1:16" s="304" customFormat="1" ht="15.75" customHeight="1">
      <c r="A19" s="372">
        <v>41426</v>
      </c>
      <c r="B19" s="317">
        <v>-1.25494</v>
      </c>
      <c r="C19" s="318">
        <v>-0.59881</v>
      </c>
      <c r="D19" s="318">
        <v>-0.15714</v>
      </c>
      <c r="E19" s="318">
        <f t="shared" si="1"/>
        <v>-0.7559499999999999</v>
      </c>
      <c r="F19" s="510">
        <f>B19+E19</f>
        <v>-2.01089</v>
      </c>
      <c r="G19" s="317">
        <v>-1.13375</v>
      </c>
      <c r="H19" s="318">
        <v>37.35378</v>
      </c>
      <c r="I19" s="318">
        <v>-4.73819</v>
      </c>
      <c r="J19" s="318">
        <f>SUM(H19:I19)</f>
        <v>32.61559</v>
      </c>
      <c r="K19" s="510">
        <f>J19+G19</f>
        <v>31.48184</v>
      </c>
      <c r="L19" s="506"/>
      <c r="M19" s="507"/>
      <c r="N19" s="507"/>
      <c r="O19" s="507"/>
      <c r="P19" s="508"/>
    </row>
    <row r="20" spans="1:16" ht="15.75" customHeight="1">
      <c r="A20" s="372">
        <v>41456</v>
      </c>
      <c r="B20" s="310">
        <v>-1.7648</v>
      </c>
      <c r="C20" s="311">
        <v>1.13</v>
      </c>
      <c r="D20" s="311">
        <v>-0.3969</v>
      </c>
      <c r="E20" s="311">
        <v>0.73767</v>
      </c>
      <c r="F20" s="312">
        <v>-1.02713</v>
      </c>
      <c r="G20" s="310">
        <v>-1.53233</v>
      </c>
      <c r="H20" s="311">
        <v>17.11512</v>
      </c>
      <c r="I20" s="311">
        <v>-4.88959</v>
      </c>
      <c r="J20" s="311">
        <v>12.225530000000001</v>
      </c>
      <c r="K20" s="312">
        <v>10.693200000000001</v>
      </c>
      <c r="L20" s="503"/>
      <c r="M20" s="512">
        <f>C20/H20*100</f>
        <v>6.602349267781937</v>
      </c>
      <c r="N20" s="499"/>
      <c r="O20" s="512">
        <f>E20/J20*100</f>
        <v>6.033848839273226</v>
      </c>
      <c r="P20" s="500"/>
    </row>
    <row r="21" spans="1:16" ht="15.75" customHeight="1">
      <c r="A21" s="509">
        <v>41487</v>
      </c>
      <c r="B21" s="317">
        <v>-1.39987</v>
      </c>
      <c r="C21" s="318">
        <v>-0.657</v>
      </c>
      <c r="D21" s="318">
        <v>-0.6604</v>
      </c>
      <c r="E21" s="318">
        <f t="shared" si="1"/>
        <v>-1.3174000000000001</v>
      </c>
      <c r="F21" s="510">
        <f>E21+B21</f>
        <v>-2.71727</v>
      </c>
      <c r="G21" s="520">
        <v>-1.21333</v>
      </c>
      <c r="H21" s="318">
        <v>21.26213</v>
      </c>
      <c r="I21" s="520">
        <v>-2.60818</v>
      </c>
      <c r="J21" s="318">
        <f>SUM(H21:I21)</f>
        <v>18.65395</v>
      </c>
      <c r="K21" s="510">
        <f>J21+G21</f>
        <v>17.44062</v>
      </c>
      <c r="L21" s="504"/>
      <c r="M21" s="499"/>
      <c r="N21" s="499"/>
      <c r="O21" s="499"/>
      <c r="P21" s="500"/>
    </row>
    <row r="22" spans="1:16" ht="15.75" customHeight="1">
      <c r="A22" s="509">
        <v>41518</v>
      </c>
      <c r="B22" s="317">
        <v>-2.05388</v>
      </c>
      <c r="C22" s="318">
        <v>0.12521</v>
      </c>
      <c r="D22" s="318">
        <v>-0.87087</v>
      </c>
      <c r="E22" s="318">
        <f t="shared" si="1"/>
        <v>-0.74566</v>
      </c>
      <c r="F22" s="510">
        <f>E22+B22</f>
        <v>-2.79954</v>
      </c>
      <c r="G22" s="527">
        <v>-1.77833</v>
      </c>
      <c r="H22" s="318">
        <v>28.93957</v>
      </c>
      <c r="I22" s="521">
        <v>10.84975</v>
      </c>
      <c r="J22" s="318">
        <f>SUM(H22:I22)</f>
        <v>39.789320000000004</v>
      </c>
      <c r="K22" s="510">
        <f>J22+G22</f>
        <v>38.01099000000001</v>
      </c>
      <c r="L22" s="504"/>
      <c r="M22" s="528">
        <f>C22/H22*100</f>
        <v>0.4326601950201747</v>
      </c>
      <c r="N22" s="499"/>
      <c r="O22" s="499"/>
      <c r="P22" s="500"/>
    </row>
    <row r="23" spans="1:16" ht="15.75" customHeight="1">
      <c r="A23" s="509">
        <v>41548</v>
      </c>
      <c r="B23" s="317">
        <v>-2.23589</v>
      </c>
      <c r="C23" s="318">
        <v>0.6999</v>
      </c>
      <c r="D23" s="318">
        <v>-0.30697</v>
      </c>
      <c r="E23" s="318">
        <v>0.39293</v>
      </c>
      <c r="F23" s="510">
        <v>-1.84296</v>
      </c>
      <c r="G23" s="534">
        <v>-2.00843</v>
      </c>
      <c r="H23" s="318">
        <v>49.02685</v>
      </c>
      <c r="I23" s="535">
        <v>-20.0845</v>
      </c>
      <c r="J23" s="318">
        <v>28.94235</v>
      </c>
      <c r="K23" s="510">
        <v>26.93392</v>
      </c>
      <c r="L23" s="504"/>
      <c r="M23" s="528">
        <f>C23/H23*100</f>
        <v>1.4275850885790131</v>
      </c>
      <c r="N23" s="499"/>
      <c r="O23" s="528">
        <f>E23/J23*100</f>
        <v>1.3576299091124253</v>
      </c>
      <c r="P23" s="500"/>
    </row>
    <row r="24" spans="1:16" ht="15.75" customHeight="1">
      <c r="A24" s="509">
        <v>41579</v>
      </c>
      <c r="B24" s="317">
        <v>-0.88609</v>
      </c>
      <c r="C24" s="318">
        <v>4.64018</v>
      </c>
      <c r="D24" s="318">
        <v>-0.27935</v>
      </c>
      <c r="E24" s="318">
        <v>4.36083</v>
      </c>
      <c r="F24" s="510">
        <v>3.47474</v>
      </c>
      <c r="G24" s="534">
        <v>-0.80233</v>
      </c>
      <c r="H24" s="318">
        <v>54.96669</v>
      </c>
      <c r="I24" s="535">
        <v>-79.96341</v>
      </c>
      <c r="J24" s="318">
        <v>-24.99672</v>
      </c>
      <c r="K24" s="510">
        <v>-25.79905</v>
      </c>
      <c r="L24" s="504"/>
      <c r="M24" s="499"/>
      <c r="N24" s="528">
        <f>D24/I24*100</f>
        <v>0.3493472827134311</v>
      </c>
      <c r="O24" s="499"/>
      <c r="P24" s="500"/>
    </row>
    <row r="25" spans="1:16" ht="15.75" customHeight="1">
      <c r="A25" s="509">
        <v>41609</v>
      </c>
      <c r="B25" s="317">
        <v>-1.2035</v>
      </c>
      <c r="C25" s="318">
        <v>-20.18353</v>
      </c>
      <c r="D25" s="318">
        <v>-0.22986</v>
      </c>
      <c r="E25" s="318">
        <v>-20.41339</v>
      </c>
      <c r="F25" s="510">
        <v>-21.616889999999998</v>
      </c>
      <c r="G25" s="534">
        <v>-1.13164</v>
      </c>
      <c r="H25" s="318">
        <v>48.41916</v>
      </c>
      <c r="I25" s="535">
        <v>4.08424</v>
      </c>
      <c r="J25" s="318">
        <v>52.5034</v>
      </c>
      <c r="K25" s="510">
        <v>51.37176</v>
      </c>
      <c r="L25" s="504"/>
      <c r="M25" s="499"/>
      <c r="N25" s="499"/>
      <c r="O25" s="499"/>
      <c r="P25" s="500"/>
    </row>
    <row r="26" spans="1:16" ht="15.75" customHeight="1">
      <c r="A26" s="509">
        <v>41640</v>
      </c>
      <c r="B26" s="317">
        <f>'Anne-8'!D42/100000</f>
        <v>-1.81366</v>
      </c>
      <c r="C26" s="318">
        <f>'Anne-6'!D43/100000</f>
        <v>-15.60026</v>
      </c>
      <c r="D26" s="318">
        <f>'Anne-7'!F42/100000</f>
        <v>-0.15277</v>
      </c>
      <c r="E26" s="318">
        <f>SUM(C26:D26)</f>
        <v>-15.75303</v>
      </c>
      <c r="F26" s="510">
        <f>E26+B26</f>
        <v>-17.56669</v>
      </c>
      <c r="G26" s="534">
        <f>'Anne-8'!O42/100000</f>
        <v>-1.72561</v>
      </c>
      <c r="H26" s="318">
        <f>'Anne-6'!Z43/100000</f>
        <v>68.51567</v>
      </c>
      <c r="I26" s="535">
        <f>'Anne-7'!N42/100000</f>
        <v>1.5955</v>
      </c>
      <c r="J26" s="318">
        <f>SUM(H26:I26)</f>
        <v>70.11117</v>
      </c>
      <c r="K26" s="510">
        <f>J26+G26</f>
        <v>68.38556</v>
      </c>
      <c r="L26" s="504"/>
      <c r="M26" s="499"/>
      <c r="N26" s="499"/>
      <c r="O26" s="499"/>
      <c r="P26" s="500"/>
    </row>
    <row r="27" spans="1:16" s="304" customFormat="1" ht="15.75" customHeight="1" thickBot="1">
      <c r="A27" s="385" t="s">
        <v>47</v>
      </c>
      <c r="B27" s="313">
        <f>SUM(B17:B26)</f>
        <v>-16.915349999999997</v>
      </c>
      <c r="C27" s="314">
        <f aca="true" t="shared" si="2" ref="C27:K27">SUM(C17:C26)</f>
        <v>-60.76813</v>
      </c>
      <c r="D27" s="314">
        <f t="shared" si="2"/>
        <v>-4.13354</v>
      </c>
      <c r="E27" s="314">
        <f t="shared" si="2"/>
        <v>-64.8971</v>
      </c>
      <c r="F27" s="315">
        <f t="shared" si="2"/>
        <v>-81.81245000000001</v>
      </c>
      <c r="G27" s="313">
        <f t="shared" si="2"/>
        <v>-14.91591</v>
      </c>
      <c r="H27" s="314">
        <f t="shared" si="2"/>
        <v>364.64654</v>
      </c>
      <c r="I27" s="314">
        <f t="shared" si="2"/>
        <v>-109.12098</v>
      </c>
      <c r="J27" s="314">
        <f t="shared" si="2"/>
        <v>255.52555999999998</v>
      </c>
      <c r="K27" s="315">
        <f t="shared" si="2"/>
        <v>240.60965000000002</v>
      </c>
      <c r="L27" s="505"/>
      <c r="M27" s="494"/>
      <c r="N27" s="581"/>
      <c r="O27" s="581"/>
      <c r="P27" s="582"/>
    </row>
    <row r="28" spans="1:16" s="304" customFormat="1" ht="19.5" customHeight="1">
      <c r="A28" s="477"/>
      <c r="B28" s="478"/>
      <c r="C28" s="478"/>
      <c r="D28" s="478"/>
      <c r="E28" s="478"/>
      <c r="F28" s="478"/>
      <c r="G28" s="478"/>
      <c r="K28" s="478"/>
      <c r="L28" s="479"/>
      <c r="M28" s="479"/>
      <c r="N28" s="480"/>
      <c r="O28" s="480"/>
      <c r="P28" s="480"/>
    </row>
    <row r="29" ht="15.75">
      <c r="A29" s="304" t="s">
        <v>219</v>
      </c>
    </row>
    <row r="31" spans="8:10" ht="15">
      <c r="H31" s="522"/>
      <c r="I31" s="524"/>
      <c r="J31" s="525"/>
    </row>
    <row r="32" spans="7:16" ht="15">
      <c r="G32" s="519"/>
      <c r="I32" s="523"/>
      <c r="P32" s="536"/>
    </row>
    <row r="33" ht="15">
      <c r="H33" s="316"/>
    </row>
    <row r="38" ht="15">
      <c r="I38" s="325"/>
    </row>
  </sheetData>
  <sheetProtection/>
  <mergeCells count="13">
    <mergeCell ref="F4:F5"/>
    <mergeCell ref="G4:G5"/>
    <mergeCell ref="H4:J4"/>
    <mergeCell ref="K4:K5"/>
    <mergeCell ref="L4:L5"/>
    <mergeCell ref="M4:O4"/>
    <mergeCell ref="A3:A5"/>
    <mergeCell ref="B3:F3"/>
    <mergeCell ref="G3:K3"/>
    <mergeCell ref="L3:P3"/>
    <mergeCell ref="B4:B5"/>
    <mergeCell ref="C4:E4"/>
    <mergeCell ref="P4:P5"/>
  </mergeCells>
  <printOptions horizontalCentered="1"/>
  <pageMargins left="0.1968503937007874" right="0.1968503937007874" top="1.3779527559055118" bottom="0.3937007874015748" header="0.31496062992125984" footer="0.31496062992125984"/>
  <pageSetup horizontalDpi="600" verticalDpi="600" orientation="landscape" paperSize="9" scale="94" r:id="rId1"/>
  <colBreaks count="1" manualBreakCount="1">
    <brk id="1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1:R57"/>
  <sheetViews>
    <sheetView workbookViewId="0" topLeftCell="B37">
      <selection activeCell="C33" sqref="C33"/>
    </sheetView>
  </sheetViews>
  <sheetFormatPr defaultColWidth="9.140625" defaultRowHeight="12.75"/>
  <cols>
    <col min="1" max="1" width="0" style="463" hidden="1" customWidth="1"/>
    <col min="2" max="2" width="18.7109375" style="463" customWidth="1"/>
    <col min="3" max="3" width="10.140625" style="463" customWidth="1"/>
    <col min="4" max="4" width="10.28125" style="463" customWidth="1"/>
    <col min="5" max="5" width="11.00390625" style="463" customWidth="1"/>
    <col min="6" max="7" width="8.8515625" style="463" customWidth="1"/>
    <col min="8" max="8" width="7.7109375" style="463" customWidth="1"/>
    <col min="9" max="9" width="8.00390625" style="463" customWidth="1"/>
    <col min="10" max="10" width="7.57421875" style="463" customWidth="1"/>
    <col min="11" max="11" width="7.8515625" style="463" customWidth="1"/>
    <col min="12" max="12" width="9.00390625" style="463" customWidth="1"/>
    <col min="13" max="13" width="7.7109375" style="463" customWidth="1"/>
    <col min="14" max="14" width="9.00390625" style="463" customWidth="1"/>
    <col min="15" max="15" width="7.28125" style="463" customWidth="1"/>
    <col min="16" max="16" width="12.28125" style="463" customWidth="1"/>
    <col min="17" max="16384" width="9.140625" style="463" customWidth="1"/>
  </cols>
  <sheetData>
    <row r="1" spans="2:14" ht="15"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 t="s">
        <v>215</v>
      </c>
      <c r="M1" s="370"/>
      <c r="N1" s="370"/>
    </row>
    <row r="2" spans="2:14" ht="15.75">
      <c r="B2" s="470" t="s">
        <v>257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</row>
    <row r="3" spans="2:14" ht="15">
      <c r="B3" s="370"/>
      <c r="C3" s="370"/>
      <c r="D3" s="370"/>
      <c r="E3" s="370"/>
      <c r="F3" s="370"/>
      <c r="G3" s="370"/>
      <c r="H3" s="370"/>
      <c r="I3" s="370"/>
      <c r="J3" s="370"/>
      <c r="K3" s="370"/>
      <c r="N3" s="370"/>
    </row>
    <row r="4" spans="2:5" ht="29.25" customHeight="1">
      <c r="B4" s="465" t="s">
        <v>211</v>
      </c>
      <c r="C4" s="466" t="s">
        <v>212</v>
      </c>
      <c r="D4" s="466" t="s">
        <v>213</v>
      </c>
      <c r="E4" s="466" t="s">
        <v>214</v>
      </c>
    </row>
    <row r="5" spans="2:14" ht="14.25">
      <c r="B5" s="3" t="s">
        <v>67</v>
      </c>
      <c r="C5" s="464">
        <v>128.685043</v>
      </c>
      <c r="D5" s="464">
        <v>129.94615642140002</v>
      </c>
      <c r="E5" s="464">
        <v>100.98</v>
      </c>
      <c r="G5" s="463" t="s">
        <v>67</v>
      </c>
      <c r="H5" s="464">
        <v>128.685043</v>
      </c>
      <c r="I5" s="463">
        <f aca="true" t="shared" si="0" ref="I5:I17">H5*J5%</f>
        <v>129.94615642140002</v>
      </c>
      <c r="J5" s="463">
        <v>100.98</v>
      </c>
      <c r="N5" s="464"/>
    </row>
    <row r="6" spans="2:14" ht="14.25">
      <c r="B6" s="3" t="s">
        <v>208</v>
      </c>
      <c r="C6" s="464">
        <v>160.407965</v>
      </c>
      <c r="D6" s="464">
        <v>153.39813692949997</v>
      </c>
      <c r="E6" s="464">
        <v>95.63</v>
      </c>
      <c r="G6" s="463" t="s">
        <v>208</v>
      </c>
      <c r="H6" s="464">
        <v>160.407965</v>
      </c>
      <c r="I6" s="463">
        <f t="shared" si="0"/>
        <v>153.39813692949997</v>
      </c>
      <c r="J6" s="463">
        <v>95.63</v>
      </c>
      <c r="N6" s="464"/>
    </row>
    <row r="7" spans="2:14" ht="14.25">
      <c r="B7" s="3" t="s">
        <v>75</v>
      </c>
      <c r="C7" s="464">
        <v>198.406537</v>
      </c>
      <c r="D7" s="464">
        <v>190.92661055509998</v>
      </c>
      <c r="E7" s="464">
        <v>96.23</v>
      </c>
      <c r="G7" s="463" t="s">
        <v>75</v>
      </c>
      <c r="H7" s="464">
        <v>198.406537</v>
      </c>
      <c r="I7" s="463">
        <f t="shared" si="0"/>
        <v>190.92661055509998</v>
      </c>
      <c r="J7" s="463">
        <v>96.23</v>
      </c>
      <c r="N7" s="464"/>
    </row>
    <row r="8" spans="2:14" ht="14.25">
      <c r="B8" s="3" t="s">
        <v>65</v>
      </c>
      <c r="C8" s="464">
        <v>117.242552</v>
      </c>
      <c r="D8" s="464">
        <v>109.6100618648</v>
      </c>
      <c r="E8" s="464">
        <v>93.49</v>
      </c>
      <c r="G8" s="463" t="s">
        <v>65</v>
      </c>
      <c r="H8" s="464">
        <v>117.242552</v>
      </c>
      <c r="I8" s="463">
        <f t="shared" si="0"/>
        <v>109.6100618648</v>
      </c>
      <c r="J8" s="463">
        <v>93.49</v>
      </c>
      <c r="N8" s="464"/>
    </row>
    <row r="9" spans="2:14" ht="14.25">
      <c r="B9" s="3" t="s">
        <v>209</v>
      </c>
      <c r="C9" s="464">
        <v>63.267497</v>
      </c>
      <c r="D9" s="464">
        <v>42.5410649828</v>
      </c>
      <c r="E9" s="464">
        <v>67.24</v>
      </c>
      <c r="G9" s="463" t="s">
        <v>209</v>
      </c>
      <c r="H9" s="464">
        <v>63.267497</v>
      </c>
      <c r="I9" s="463">
        <f t="shared" si="0"/>
        <v>42.5410649828</v>
      </c>
      <c r="J9" s="463">
        <v>67.24</v>
      </c>
      <c r="N9" s="464"/>
    </row>
    <row r="10" spans="2:14" ht="14.25">
      <c r="B10" s="3" t="s">
        <v>136</v>
      </c>
      <c r="C10" s="464">
        <v>32.780881</v>
      </c>
      <c r="D10" s="464">
        <v>24.8938010314</v>
      </c>
      <c r="E10" s="464">
        <v>75.94</v>
      </c>
      <c r="G10" s="463" t="s">
        <v>136</v>
      </c>
      <c r="H10" s="464">
        <v>32.780881</v>
      </c>
      <c r="I10" s="464">
        <f t="shared" si="0"/>
        <v>24.8938010314</v>
      </c>
      <c r="J10" s="463">
        <v>75.94</v>
      </c>
      <c r="N10" s="464"/>
    </row>
    <row r="11" spans="2:14" ht="14.25">
      <c r="B11" s="3" t="s">
        <v>68</v>
      </c>
      <c r="C11" s="464">
        <v>65.283113</v>
      </c>
      <c r="D11" s="464">
        <v>41.9248151686</v>
      </c>
      <c r="E11" s="464">
        <v>64.22</v>
      </c>
      <c r="G11" s="463" t="s">
        <v>68</v>
      </c>
      <c r="H11" s="464">
        <v>65.283113</v>
      </c>
      <c r="I11" s="464">
        <f t="shared" si="0"/>
        <v>41.9248151686</v>
      </c>
      <c r="J11" s="463">
        <v>64.22</v>
      </c>
      <c r="N11" s="464"/>
    </row>
    <row r="12" spans="2:14" ht="14.25">
      <c r="B12" s="3" t="s">
        <v>248</v>
      </c>
      <c r="C12" s="464">
        <v>1.955811</v>
      </c>
      <c r="D12" s="464">
        <v>1.0528130613</v>
      </c>
      <c r="E12" s="464">
        <v>53.83</v>
      </c>
      <c r="G12" s="463" t="s">
        <v>248</v>
      </c>
      <c r="H12" s="464">
        <v>1.955811</v>
      </c>
      <c r="I12" s="464">
        <f t="shared" si="0"/>
        <v>1.0528130613</v>
      </c>
      <c r="J12" s="463">
        <v>53.83</v>
      </c>
      <c r="N12" s="464"/>
    </row>
    <row r="13" spans="2:14" ht="14.25">
      <c r="B13" s="3" t="s">
        <v>146</v>
      </c>
      <c r="C13" s="464">
        <v>3.969562</v>
      </c>
      <c r="D13" s="464">
        <v>2.189213443</v>
      </c>
      <c r="E13" s="464">
        <v>55.15</v>
      </c>
      <c r="G13" s="463" t="s">
        <v>146</v>
      </c>
      <c r="H13" s="464">
        <v>3.969562</v>
      </c>
      <c r="I13" s="464">
        <f t="shared" si="0"/>
        <v>2.189213443</v>
      </c>
      <c r="J13" s="463">
        <v>55.15</v>
      </c>
      <c r="N13" s="464"/>
    </row>
    <row r="14" spans="2:14" ht="14.25">
      <c r="B14" s="3" t="s">
        <v>1</v>
      </c>
      <c r="C14" s="464">
        <v>96.292218</v>
      </c>
      <c r="D14" s="464">
        <v>55.445059124400004</v>
      </c>
      <c r="E14" s="464">
        <v>57.58</v>
      </c>
      <c r="G14" s="463" t="s">
        <v>1</v>
      </c>
      <c r="H14" s="464">
        <v>96.292218</v>
      </c>
      <c r="I14" s="464">
        <f t="shared" si="0"/>
        <v>55.445059124400004</v>
      </c>
      <c r="J14" s="463">
        <v>57.58</v>
      </c>
      <c r="N14" s="464"/>
    </row>
    <row r="15" spans="2:14" ht="14.25">
      <c r="B15" s="3" t="s">
        <v>202</v>
      </c>
      <c r="C15" s="464">
        <v>9.807039</v>
      </c>
      <c r="D15" s="464">
        <v>5.9891587173</v>
      </c>
      <c r="E15" s="464">
        <v>61.07</v>
      </c>
      <c r="G15" s="463" t="s">
        <v>202</v>
      </c>
      <c r="H15" s="464">
        <v>9.807039</v>
      </c>
      <c r="I15" s="464">
        <f t="shared" si="0"/>
        <v>5.9891587173</v>
      </c>
      <c r="J15" s="463">
        <v>61.07</v>
      </c>
      <c r="N15" s="464"/>
    </row>
    <row r="16" spans="2:14" ht="14.25">
      <c r="B16" s="3" t="s">
        <v>210</v>
      </c>
      <c r="C16" s="464">
        <v>2.97946</v>
      </c>
      <c r="D16" s="464">
        <v>1.411966094</v>
      </c>
      <c r="E16" s="464">
        <v>47.39</v>
      </c>
      <c r="G16" s="463" t="s">
        <v>200</v>
      </c>
      <c r="H16" s="464">
        <v>2.97946</v>
      </c>
      <c r="I16" s="464">
        <f t="shared" si="0"/>
        <v>1.411966094</v>
      </c>
      <c r="J16" s="464">
        <v>47.39</v>
      </c>
      <c r="N16" s="464"/>
    </row>
    <row r="17" spans="2:14" ht="14.25">
      <c r="B17" s="446" t="s">
        <v>2</v>
      </c>
      <c r="C17" s="464">
        <v>3.591522</v>
      </c>
      <c r="D17" s="464">
        <v>2.0144846898</v>
      </c>
      <c r="E17" s="464">
        <v>56.09</v>
      </c>
      <c r="G17" s="463" t="s">
        <v>2</v>
      </c>
      <c r="H17" s="464">
        <v>3.591522</v>
      </c>
      <c r="I17" s="464">
        <f t="shared" si="0"/>
        <v>2.0144846898</v>
      </c>
      <c r="J17" s="463">
        <v>56.09</v>
      </c>
      <c r="N17" s="464"/>
    </row>
    <row r="18" spans="2:15" ht="15">
      <c r="B18" s="175" t="s">
        <v>47</v>
      </c>
      <c r="C18" s="444">
        <f>SUM(C5:C17)</f>
        <v>884.6692000000003</v>
      </c>
      <c r="D18" s="444">
        <f>SUM(D5:D17)</f>
        <v>761.3433420834001</v>
      </c>
      <c r="E18" s="445">
        <f>D18/C18*100</f>
        <v>86.05966411890455</v>
      </c>
      <c r="I18" s="463">
        <f>SUM(I5:I17)</f>
        <v>761.3433420834001</v>
      </c>
      <c r="O18" s="464"/>
    </row>
    <row r="31" spans="13:18" ht="14.25">
      <c r="M31" s="463" t="s">
        <v>216</v>
      </c>
      <c r="R31" s="468"/>
    </row>
    <row r="32" spans="2:16" ht="14.25">
      <c r="B32" s="177"/>
      <c r="C32" s="461" t="str">
        <f>B5</f>
        <v>Idea</v>
      </c>
      <c r="D32" s="461" t="str">
        <f>B6</f>
        <v>Vodaphone</v>
      </c>
      <c r="E32" s="461" t="str">
        <f>B7</f>
        <v>Bharti Airtel</v>
      </c>
      <c r="F32" s="461" t="str">
        <f>B8</f>
        <v>Reliance</v>
      </c>
      <c r="G32" s="461" t="str">
        <f>B9</f>
        <v>Tata</v>
      </c>
      <c r="H32" s="461" t="str">
        <f>B10</f>
        <v>Uninor</v>
      </c>
      <c r="I32" s="490" t="str">
        <f>B11</f>
        <v>Aircel</v>
      </c>
      <c r="J32" s="461" t="str">
        <f>B12</f>
        <v>Quadrant</v>
      </c>
      <c r="K32" s="491" t="str">
        <f>B13</f>
        <v>Vidiocon</v>
      </c>
      <c r="L32" s="491" t="str">
        <f>B14</f>
        <v>BSNL</v>
      </c>
      <c r="M32" s="492" t="str">
        <f>B15</f>
        <v>Sistema Shyam</v>
      </c>
      <c r="N32" s="461" t="str">
        <f>B16</f>
        <v>Loop</v>
      </c>
      <c r="O32" s="461" t="str">
        <f>B17</f>
        <v>MTNL</v>
      </c>
      <c r="P32" s="469" t="s">
        <v>47</v>
      </c>
    </row>
    <row r="33" spans="2:16" ht="14.25">
      <c r="B33" s="177" t="s">
        <v>212</v>
      </c>
      <c r="C33" s="467">
        <f>C5</f>
        <v>128.685043</v>
      </c>
      <c r="D33" s="467">
        <f>C6</f>
        <v>160.407965</v>
      </c>
      <c r="E33" s="467">
        <f>C7</f>
        <v>198.406537</v>
      </c>
      <c r="F33" s="467">
        <f>C8</f>
        <v>117.242552</v>
      </c>
      <c r="G33" s="467">
        <f>C9</f>
        <v>63.267497</v>
      </c>
      <c r="H33" s="467">
        <f>C10</f>
        <v>32.780881</v>
      </c>
      <c r="I33" s="467">
        <f>C11</f>
        <v>65.283113</v>
      </c>
      <c r="J33" s="467">
        <f>C12</f>
        <v>1.955811</v>
      </c>
      <c r="K33" s="467">
        <f>C13</f>
        <v>3.969562</v>
      </c>
      <c r="L33" s="467">
        <f>C14</f>
        <v>96.292218</v>
      </c>
      <c r="M33" s="467">
        <f>C15</f>
        <v>9.807039</v>
      </c>
      <c r="N33" s="467">
        <f>C16</f>
        <v>2.97946</v>
      </c>
      <c r="O33" s="467">
        <f>C17</f>
        <v>3.591522</v>
      </c>
      <c r="P33" s="467">
        <f>C18</f>
        <v>884.6692000000003</v>
      </c>
    </row>
    <row r="34" spans="2:16" ht="14.25">
      <c r="B34" s="177" t="s">
        <v>213</v>
      </c>
      <c r="C34" s="467">
        <f>D5</f>
        <v>129.94615642140002</v>
      </c>
      <c r="D34" s="467">
        <f>D6</f>
        <v>153.39813692949997</v>
      </c>
      <c r="E34" s="467">
        <f>D7</f>
        <v>190.92661055509998</v>
      </c>
      <c r="F34" s="467">
        <f>D8</f>
        <v>109.6100618648</v>
      </c>
      <c r="G34" s="467">
        <f>D9</f>
        <v>42.5410649828</v>
      </c>
      <c r="H34" s="467">
        <f>D10</f>
        <v>24.8938010314</v>
      </c>
      <c r="I34" s="467">
        <f>D11</f>
        <v>41.9248151686</v>
      </c>
      <c r="J34" s="467">
        <f>D12</f>
        <v>1.0528130613</v>
      </c>
      <c r="K34" s="467">
        <f>D13</f>
        <v>2.189213443</v>
      </c>
      <c r="L34" s="467">
        <f>D14</f>
        <v>55.445059124400004</v>
      </c>
      <c r="M34" s="467">
        <f>D15</f>
        <v>5.9891587173</v>
      </c>
      <c r="N34" s="467">
        <f>D16</f>
        <v>1.411966094</v>
      </c>
      <c r="O34" s="467">
        <f>D17</f>
        <v>2.0144846898</v>
      </c>
      <c r="P34" s="467">
        <f>D18</f>
        <v>761.3433420834001</v>
      </c>
    </row>
    <row r="36" ht="14.25">
      <c r="B36" s="463" t="s">
        <v>217</v>
      </c>
    </row>
    <row r="38" spans="10:16" ht="14.25">
      <c r="J38" s="463">
        <f>J34/J33*100</f>
        <v>53.83</v>
      </c>
      <c r="L38" s="463">
        <f>L34/L33*100</f>
        <v>57.58</v>
      </c>
      <c r="O38" s="463">
        <f>0.3988*O33</f>
        <v>1.4322989735999998</v>
      </c>
      <c r="P38" s="464">
        <f>P34/P33*100</f>
        <v>86.05966411890455</v>
      </c>
    </row>
    <row r="42" spans="3:4" ht="14.25">
      <c r="C42" s="464"/>
      <c r="D42" s="464"/>
    </row>
    <row r="43" spans="3:4" ht="14.25">
      <c r="C43" s="464"/>
      <c r="D43" s="464"/>
    </row>
    <row r="44" spans="3:4" ht="14.25">
      <c r="C44" s="464"/>
      <c r="D44" s="464"/>
    </row>
    <row r="45" spans="3:4" ht="14.25">
      <c r="C45" s="464"/>
      <c r="D45" s="464"/>
    </row>
    <row r="46" spans="3:4" ht="14.25">
      <c r="C46" s="464"/>
      <c r="D46" s="464"/>
    </row>
    <row r="47" spans="3:4" ht="14.25">
      <c r="C47" s="464"/>
      <c r="D47" s="464"/>
    </row>
    <row r="48" spans="3:4" ht="14.25">
      <c r="C48" s="464"/>
      <c r="D48" s="464"/>
    </row>
    <row r="49" spans="3:4" ht="14.25">
      <c r="C49" s="464"/>
      <c r="D49" s="464"/>
    </row>
    <row r="50" spans="3:4" ht="14.25">
      <c r="C50" s="464"/>
      <c r="D50" s="464"/>
    </row>
    <row r="51" spans="3:4" ht="14.25">
      <c r="C51" s="464"/>
      <c r="D51" s="464"/>
    </row>
    <row r="52" spans="3:4" ht="14.25">
      <c r="C52" s="464"/>
      <c r="D52" s="464"/>
    </row>
    <row r="53" spans="3:4" ht="14.25">
      <c r="C53" s="464"/>
      <c r="D53" s="464"/>
    </row>
    <row r="54" spans="3:4" ht="14.25">
      <c r="C54" s="464"/>
      <c r="D54" s="464"/>
    </row>
    <row r="55" spans="3:5" ht="14.25">
      <c r="C55" s="464"/>
      <c r="D55" s="464"/>
      <c r="E55" s="464"/>
    </row>
    <row r="57" ht="14.25">
      <c r="F57" s="464"/>
    </row>
  </sheetData>
  <sheetProtection/>
  <printOptions horizontalCentered="1" verticalCentered="1"/>
  <pageMargins left="0.1968503937007874" right="0.1968503937007874" top="0.5905511811023623" bottom="0.3937007874015748" header="0.31496062992125984" footer="0.31496062992125984"/>
  <pageSetup horizontalDpi="600" verticalDpi="600" orientation="landscape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1">
      <pane xSplit="1" ySplit="4" topLeftCell="B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7" sqref="G17"/>
    </sheetView>
  </sheetViews>
  <sheetFormatPr defaultColWidth="9.140625" defaultRowHeight="12.75"/>
  <cols>
    <col min="1" max="1" width="12.7109375" style="26" bestFit="1" customWidth="1"/>
    <col min="2" max="2" width="8.421875" style="26" bestFit="1" customWidth="1"/>
    <col min="3" max="4" width="8.7109375" style="26" customWidth="1"/>
    <col min="5" max="5" width="10.421875" style="26" bestFit="1" customWidth="1"/>
    <col min="6" max="6" width="9.00390625" style="26" bestFit="1" customWidth="1"/>
    <col min="7" max="7" width="7.140625" style="26" bestFit="1" customWidth="1"/>
    <col min="8" max="8" width="7.7109375" style="26" bestFit="1" customWidth="1"/>
    <col min="9" max="12" width="8.7109375" style="26" customWidth="1"/>
    <col min="13" max="13" width="7.00390625" style="26" bestFit="1" customWidth="1"/>
    <col min="14" max="14" width="8.7109375" style="26" customWidth="1"/>
    <col min="15" max="16" width="9.140625" style="26" bestFit="1" customWidth="1"/>
    <col min="17" max="17" width="14.7109375" style="26" customWidth="1"/>
    <col min="18" max="18" width="9.57421875" style="26" bestFit="1" customWidth="1"/>
    <col min="19" max="20" width="11.57421875" style="0" bestFit="1" customWidth="1"/>
    <col min="21" max="22" width="9.140625" style="26" customWidth="1"/>
    <col min="23" max="23" width="12.421875" style="26" customWidth="1"/>
    <col min="24" max="16384" width="9.140625" style="26" customWidth="1"/>
  </cols>
  <sheetData>
    <row r="1" ht="18">
      <c r="A1" s="323" t="s">
        <v>193</v>
      </c>
    </row>
    <row r="2" spans="18:21" ht="15.75" thickBot="1">
      <c r="R2" s="142"/>
      <c r="U2" s="161"/>
    </row>
    <row r="3" spans="1:17" ht="15">
      <c r="A3" s="754" t="s">
        <v>191</v>
      </c>
      <c r="B3" s="756" t="s">
        <v>175</v>
      </c>
      <c r="C3" s="757"/>
      <c r="D3" s="752" t="s">
        <v>177</v>
      </c>
      <c r="E3" s="758" t="s">
        <v>187</v>
      </c>
      <c r="F3" s="752"/>
      <c r="G3" s="756" t="s">
        <v>178</v>
      </c>
      <c r="H3" s="757"/>
      <c r="I3" s="752" t="s">
        <v>177</v>
      </c>
      <c r="J3" s="756" t="s">
        <v>179</v>
      </c>
      <c r="K3" s="757"/>
      <c r="L3" s="752" t="s">
        <v>177</v>
      </c>
      <c r="M3" s="756" t="s">
        <v>186</v>
      </c>
      <c r="N3" s="760"/>
      <c r="O3" s="759" t="s">
        <v>180</v>
      </c>
      <c r="P3" s="757"/>
      <c r="Q3" s="752" t="s">
        <v>192</v>
      </c>
    </row>
    <row r="4" spans="1:18" ht="17.25" customHeight="1" thickBot="1">
      <c r="A4" s="755"/>
      <c r="B4" s="197" t="s">
        <v>176</v>
      </c>
      <c r="C4" s="330" t="s">
        <v>1</v>
      </c>
      <c r="D4" s="753"/>
      <c r="E4" s="333" t="s">
        <v>188</v>
      </c>
      <c r="F4" s="332" t="s">
        <v>189</v>
      </c>
      <c r="G4" s="197" t="s">
        <v>176</v>
      </c>
      <c r="H4" s="330" t="s">
        <v>1</v>
      </c>
      <c r="I4" s="753"/>
      <c r="J4" s="197" t="s">
        <v>176</v>
      </c>
      <c r="K4" s="330" t="s">
        <v>1</v>
      </c>
      <c r="L4" s="753"/>
      <c r="M4" s="197" t="s">
        <v>176</v>
      </c>
      <c r="N4" s="334" t="s">
        <v>1</v>
      </c>
      <c r="O4" s="342" t="s">
        <v>176</v>
      </c>
      <c r="P4" s="330" t="s">
        <v>1</v>
      </c>
      <c r="Q4" s="753"/>
      <c r="R4" s="300"/>
    </row>
    <row r="5" spans="1:18" s="275" customFormat="1" ht="21.75" customHeight="1" hidden="1" thickBot="1">
      <c r="A5" s="340" t="s">
        <v>151</v>
      </c>
      <c r="B5" s="345">
        <v>8.71</v>
      </c>
      <c r="C5" s="346">
        <v>5.375981</v>
      </c>
      <c r="D5" s="347">
        <f aca="true" t="shared" si="0" ref="D5:D12">C5/B5*100</f>
        <v>61.72194029850746</v>
      </c>
      <c r="E5" s="348"/>
      <c r="F5" s="347"/>
      <c r="G5" s="345"/>
      <c r="H5" s="349"/>
      <c r="I5" s="350"/>
      <c r="J5" s="345"/>
      <c r="K5" s="349"/>
      <c r="L5" s="350"/>
      <c r="M5" s="345"/>
      <c r="N5" s="350"/>
      <c r="O5" s="351"/>
      <c r="P5" s="349"/>
      <c r="Q5" s="350"/>
      <c r="R5" s="322"/>
    </row>
    <row r="6" spans="1:18" s="275" customFormat="1" ht="15.75" customHeight="1" hidden="1">
      <c r="A6" s="363" t="s">
        <v>190</v>
      </c>
      <c r="B6" s="336">
        <v>11.87</v>
      </c>
      <c r="C6" s="338">
        <v>7.490623</v>
      </c>
      <c r="D6" s="341">
        <f t="shared" si="0"/>
        <v>63.10550126368998</v>
      </c>
      <c r="E6" s="343">
        <v>0.8643591538382012</v>
      </c>
      <c r="F6" s="341">
        <v>1.383560965182518</v>
      </c>
      <c r="G6" s="336"/>
      <c r="H6" s="337"/>
      <c r="I6" s="339"/>
      <c r="J6" s="336">
        <v>1.92</v>
      </c>
      <c r="K6" s="338">
        <v>1.4199869999999999</v>
      </c>
      <c r="L6" s="341">
        <f aca="true" t="shared" si="1" ref="L6:L12">K6/J6*100</f>
        <v>73.95765624999999</v>
      </c>
      <c r="M6" s="427">
        <v>36.28013777267506</v>
      </c>
      <c r="N6" s="353">
        <v>39.3349976497313</v>
      </c>
      <c r="O6" s="343">
        <f aca="true" t="shared" si="2" ref="O6:O12">(B6*1000000)/(Q6*1000)*100</f>
        <v>0.9808349462339087</v>
      </c>
      <c r="P6" s="354">
        <f aca="true" t="shared" si="3" ref="P6:P12">(C6*1000000)/(Q6*1000)*100</f>
        <v>0.6189608093903521</v>
      </c>
      <c r="Q6" s="355">
        <v>1210193.422</v>
      </c>
      <c r="R6" s="322"/>
    </row>
    <row r="7" spans="1:19" s="275" customFormat="1" ht="15.75" customHeight="1" hidden="1">
      <c r="A7" s="363" t="s">
        <v>198</v>
      </c>
      <c r="B7" s="328">
        <v>13.79</v>
      </c>
      <c r="C7" s="321">
        <v>8.91061</v>
      </c>
      <c r="D7" s="329">
        <f t="shared" si="0"/>
        <v>64.61646120377085</v>
      </c>
      <c r="E7" s="283"/>
      <c r="F7" s="329">
        <v>1.5109599400808733</v>
      </c>
      <c r="G7" s="328"/>
      <c r="H7" s="321"/>
      <c r="I7" s="331"/>
      <c r="J7" s="328">
        <v>1.92</v>
      </c>
      <c r="K7" s="321">
        <v>1.4199869999999999</v>
      </c>
      <c r="L7" s="329">
        <f t="shared" si="1"/>
        <v>73.95765624999999</v>
      </c>
      <c r="M7" s="352">
        <f>(B7-B$6)/B$6*100</f>
        <v>16.175231676495365</v>
      </c>
      <c r="N7" s="331">
        <f>(C7-C$6)/C$6*100</f>
        <v>18.956861131577437</v>
      </c>
      <c r="O7" s="293">
        <f t="shared" si="2"/>
        <v>1.1290676748825093</v>
      </c>
      <c r="P7" s="529">
        <f t="shared" si="3"/>
        <v>0.7295635761047742</v>
      </c>
      <c r="Q7" s="530">
        <v>1221361.6868833825</v>
      </c>
      <c r="R7" s="322"/>
      <c r="S7" s="322">
        <f>D6-D5</f>
        <v>1.383560965182518</v>
      </c>
    </row>
    <row r="8" spans="1:19" s="275" customFormat="1" ht="15.75" customHeight="1">
      <c r="A8" s="363" t="s">
        <v>204</v>
      </c>
      <c r="B8" s="328">
        <v>15.05</v>
      </c>
      <c r="C8" s="321">
        <v>9.92743</v>
      </c>
      <c r="D8" s="329">
        <f t="shared" si="0"/>
        <v>65.96299003322258</v>
      </c>
      <c r="E8" s="283"/>
      <c r="F8" s="329">
        <v>1.346528829451728</v>
      </c>
      <c r="G8" s="328"/>
      <c r="H8" s="321"/>
      <c r="I8" s="331"/>
      <c r="J8" s="328">
        <v>1.2600000000000016</v>
      </c>
      <c r="K8" s="321">
        <v>1.0168199999999992</v>
      </c>
      <c r="L8" s="329">
        <f t="shared" si="1"/>
        <v>80.69999999999983</v>
      </c>
      <c r="M8" s="352">
        <f>(B8-B$7)/B$7*100</f>
        <v>9.137055837563464</v>
      </c>
      <c r="N8" s="331">
        <f>(C8-C$7)/C$7*100</f>
        <v>11.411339964379534</v>
      </c>
      <c r="O8" s="343">
        <f t="shared" si="2"/>
        <v>1.2287147382928243</v>
      </c>
      <c r="P8" s="354">
        <f t="shared" si="3"/>
        <v>0.8104969803568327</v>
      </c>
      <c r="Q8" s="355">
        <v>1224857.1235428057</v>
      </c>
      <c r="R8" s="322"/>
      <c r="S8" s="322">
        <f>D7-D6</f>
        <v>1.5109599400808733</v>
      </c>
    </row>
    <row r="9" spans="1:19" s="275" customFormat="1" ht="15.75" customHeight="1">
      <c r="A9" s="363" t="s">
        <v>233</v>
      </c>
      <c r="B9" s="328">
        <v>15.09</v>
      </c>
      <c r="C9" s="321">
        <v>9.925698</v>
      </c>
      <c r="D9" s="329">
        <f t="shared" si="0"/>
        <v>65.77666003976144</v>
      </c>
      <c r="E9" s="283">
        <f aca="true" t="shared" si="4" ref="E9:E14">D9-D8</f>
        <v>-0.18632999346114332</v>
      </c>
      <c r="F9" s="329">
        <f aca="true" t="shared" si="5" ref="F9:F14">D9-D$8</f>
        <v>-0.18632999346114332</v>
      </c>
      <c r="G9" s="328">
        <f aca="true" t="shared" si="6" ref="G9:H12">B9-B8</f>
        <v>0.03999999999999915</v>
      </c>
      <c r="H9" s="511">
        <f t="shared" si="6"/>
        <v>-0.0017319999999987346</v>
      </c>
      <c r="I9" s="331">
        <f aca="true" t="shared" si="7" ref="I9:I14">H9/G9*100</f>
        <v>-4.329999999996929</v>
      </c>
      <c r="J9" s="328">
        <f aca="true" t="shared" si="8" ref="J9:K12">B9-B$8</f>
        <v>0.03999999999999915</v>
      </c>
      <c r="K9" s="511">
        <f t="shared" si="8"/>
        <v>-0.0017319999999987346</v>
      </c>
      <c r="L9" s="329">
        <f t="shared" si="1"/>
        <v>-4.329999999996929</v>
      </c>
      <c r="M9" s="352">
        <f aca="true" t="shared" si="9" ref="M9:N12">(B9-B$8)/B$8*100</f>
        <v>0.2657807308970043</v>
      </c>
      <c r="N9" s="331">
        <f t="shared" si="9"/>
        <v>-0.017446610049113766</v>
      </c>
      <c r="O9" s="283">
        <f t="shared" si="2"/>
        <v>1.23069909298608</v>
      </c>
      <c r="P9" s="327">
        <f t="shared" si="3"/>
        <v>0.8095127585058812</v>
      </c>
      <c r="Q9" s="344">
        <v>1226132.3735428054</v>
      </c>
      <c r="R9" s="322"/>
      <c r="S9" s="322">
        <f>D8-D7</f>
        <v>1.346528829451728</v>
      </c>
    </row>
    <row r="10" spans="1:20" ht="15.75" customHeight="1">
      <c r="A10" s="357" t="s">
        <v>236</v>
      </c>
      <c r="B10" s="358">
        <v>15.13</v>
      </c>
      <c r="C10" s="142">
        <v>9.939775</v>
      </c>
      <c r="D10" s="329">
        <f t="shared" si="0"/>
        <v>65.69580304031724</v>
      </c>
      <c r="E10" s="283">
        <f t="shared" si="4"/>
        <v>-0.08085699944419389</v>
      </c>
      <c r="F10" s="329">
        <f t="shared" si="5"/>
        <v>-0.2671869929053372</v>
      </c>
      <c r="G10" s="328">
        <f t="shared" si="6"/>
        <v>0.040000000000000924</v>
      </c>
      <c r="H10" s="511">
        <f t="shared" si="6"/>
        <v>0.014076999999998563</v>
      </c>
      <c r="I10" s="331">
        <f t="shared" si="7"/>
        <v>35.1924999999956</v>
      </c>
      <c r="J10" s="328">
        <f t="shared" si="8"/>
        <v>0.08000000000000007</v>
      </c>
      <c r="K10" s="511">
        <f t="shared" si="8"/>
        <v>0.012344999999999828</v>
      </c>
      <c r="L10" s="329">
        <f t="shared" si="1"/>
        <v>15.431249999999771</v>
      </c>
      <c r="M10" s="352">
        <f t="shared" si="9"/>
        <v>0.5315614617940204</v>
      </c>
      <c r="N10" s="331">
        <f t="shared" si="9"/>
        <v>0.12435242555223083</v>
      </c>
      <c r="O10" s="283">
        <f t="shared" si="2"/>
        <v>1.2326793242760357</v>
      </c>
      <c r="P10" s="327">
        <f t="shared" si="3"/>
        <v>0.8098185809950978</v>
      </c>
      <c r="Q10" s="344">
        <v>1227407.6235428054</v>
      </c>
      <c r="S10" s="26"/>
      <c r="T10" s="26">
        <v>1227407.6235428054</v>
      </c>
    </row>
    <row r="11" spans="1:20" ht="15.75" customHeight="1">
      <c r="A11" s="357" t="s">
        <v>237</v>
      </c>
      <c r="B11" s="361">
        <v>15.19</v>
      </c>
      <c r="C11" s="142">
        <v>9.947168</v>
      </c>
      <c r="D11" s="329">
        <f t="shared" si="0"/>
        <v>65.48497695852534</v>
      </c>
      <c r="E11" s="283">
        <f t="shared" si="4"/>
        <v>-0.21082608179190743</v>
      </c>
      <c r="F11" s="329">
        <f t="shared" si="5"/>
        <v>-0.47801307469724463</v>
      </c>
      <c r="G11" s="328">
        <f t="shared" si="6"/>
        <v>0.05999999999999872</v>
      </c>
      <c r="H11" s="511">
        <f t="shared" si="6"/>
        <v>0.007393000000000427</v>
      </c>
      <c r="I11" s="331">
        <f t="shared" si="7"/>
        <v>12.32166666666764</v>
      </c>
      <c r="J11" s="328">
        <f t="shared" si="8"/>
        <v>0.1399999999999988</v>
      </c>
      <c r="K11" s="511">
        <f t="shared" si="8"/>
        <v>0.019738000000000255</v>
      </c>
      <c r="L11" s="329">
        <f t="shared" si="1"/>
        <v>14.098571428571733</v>
      </c>
      <c r="M11" s="352">
        <f t="shared" si="9"/>
        <v>0.9302325581395269</v>
      </c>
      <c r="N11" s="331">
        <f t="shared" si="9"/>
        <v>0.19882285747671105</v>
      </c>
      <c r="O11" s="283">
        <f t="shared" si="2"/>
        <v>1.236283204322763</v>
      </c>
      <c r="P11" s="327">
        <f t="shared" si="3"/>
        <v>0.8095797714928802</v>
      </c>
      <c r="Q11" s="359">
        <v>1228682.8735428057</v>
      </c>
      <c r="S11" s="26"/>
      <c r="T11" s="26"/>
    </row>
    <row r="12" spans="1:20" ht="15">
      <c r="A12" s="357" t="s">
        <v>238</v>
      </c>
      <c r="B12" s="361">
        <v>15.24</v>
      </c>
      <c r="C12" s="142">
        <v>9.951117</v>
      </c>
      <c r="D12" s="329">
        <f t="shared" si="0"/>
        <v>65.29604330708662</v>
      </c>
      <c r="E12" s="283">
        <f t="shared" si="4"/>
        <v>-0.18893365143871677</v>
      </c>
      <c r="F12" s="329">
        <f t="shared" si="5"/>
        <v>-0.6669467261359614</v>
      </c>
      <c r="G12" s="352">
        <f t="shared" si="6"/>
        <v>0.05000000000000071</v>
      </c>
      <c r="H12" s="511">
        <f t="shared" si="6"/>
        <v>0.003949000000000424</v>
      </c>
      <c r="I12" s="331">
        <f t="shared" si="7"/>
        <v>7.898000000000736</v>
      </c>
      <c r="J12" s="352">
        <f t="shared" si="8"/>
        <v>0.1899999999999995</v>
      </c>
      <c r="K12" s="511">
        <f t="shared" si="8"/>
        <v>0.02368700000000068</v>
      </c>
      <c r="L12" s="329">
        <f t="shared" si="1"/>
        <v>12.466842105263549</v>
      </c>
      <c r="M12" s="352">
        <f t="shared" si="9"/>
        <v>1.262458471760794</v>
      </c>
      <c r="N12" s="331">
        <f t="shared" si="9"/>
        <v>0.23860153131274336</v>
      </c>
      <c r="O12" s="283">
        <f t="shared" si="2"/>
        <v>1.239066699838531</v>
      </c>
      <c r="P12" s="327">
        <f t="shared" si="3"/>
        <v>0.8090615289302562</v>
      </c>
      <c r="Q12" s="359">
        <v>1229958</v>
      </c>
      <c r="S12" s="26"/>
      <c r="T12" s="26"/>
    </row>
    <row r="13" spans="1:20" ht="15">
      <c r="A13" s="357" t="s">
        <v>239</v>
      </c>
      <c r="B13" s="358">
        <v>15.28</v>
      </c>
      <c r="C13" s="142">
        <v>9.973097</v>
      </c>
      <c r="D13" s="329">
        <f>C13/B13*100</f>
        <v>65.26895942408377</v>
      </c>
      <c r="E13" s="283">
        <f t="shared" si="4"/>
        <v>-0.027083883002845255</v>
      </c>
      <c r="F13" s="329">
        <f t="shared" si="5"/>
        <v>-0.6940306091388067</v>
      </c>
      <c r="G13" s="352">
        <f aca="true" t="shared" si="10" ref="G13:H15">B13-B12</f>
        <v>0.03999999999999915</v>
      </c>
      <c r="H13" s="511">
        <f t="shared" si="10"/>
        <v>0.021979999999999222</v>
      </c>
      <c r="I13" s="331">
        <f t="shared" si="7"/>
        <v>54.949999999999235</v>
      </c>
      <c r="J13" s="352">
        <f aca="true" t="shared" si="11" ref="J13:K15">B13-B$8</f>
        <v>0.22999999999999865</v>
      </c>
      <c r="K13" s="511">
        <f t="shared" si="11"/>
        <v>0.0456669999999999</v>
      </c>
      <c r="L13" s="329">
        <f>K13/J13*100</f>
        <v>19.85521739130442</v>
      </c>
      <c r="M13" s="352">
        <f aca="true" t="shared" si="12" ref="M13:N15">(B13-B$8)/B$8*100</f>
        <v>1.5282392026577984</v>
      </c>
      <c r="N13" s="331">
        <f t="shared" si="12"/>
        <v>0.460008280088602</v>
      </c>
      <c r="O13" s="283">
        <f>(B13*1000000)/(Q13*1000)*100</f>
        <v>1.2410323634925315</v>
      </c>
      <c r="P13" s="327">
        <f>(C13*1000000)/(Q13*1000)*100</f>
        <v>0.8100089097676881</v>
      </c>
      <c r="Q13" s="359">
        <v>1231233</v>
      </c>
      <c r="S13" s="26"/>
      <c r="T13" s="26"/>
    </row>
    <row r="14" spans="1:20" ht="15">
      <c r="A14" s="357" t="s">
        <v>240</v>
      </c>
      <c r="B14" s="358">
        <v>15.36</v>
      </c>
      <c r="C14" s="142">
        <v>9.9546</v>
      </c>
      <c r="D14" s="329">
        <f>C14/B14*100</f>
        <v>64.80859375</v>
      </c>
      <c r="E14" s="283">
        <f t="shared" si="4"/>
        <v>-0.46036567408377493</v>
      </c>
      <c r="F14" s="329">
        <f t="shared" si="5"/>
        <v>-1.1543962832225816</v>
      </c>
      <c r="G14" s="352">
        <f t="shared" si="10"/>
        <v>0.08000000000000007</v>
      </c>
      <c r="H14" s="511">
        <f t="shared" si="10"/>
        <v>-0.018496999999999986</v>
      </c>
      <c r="I14" s="331">
        <f t="shared" si="7"/>
        <v>-23.121249999999964</v>
      </c>
      <c r="J14" s="352">
        <f t="shared" si="11"/>
        <v>0.3099999999999987</v>
      </c>
      <c r="K14" s="511">
        <f t="shared" si="11"/>
        <v>0.027169999999999916</v>
      </c>
      <c r="L14" s="329">
        <f>K14/J14*100</f>
        <v>8.764516129032266</v>
      </c>
      <c r="M14" s="352">
        <f t="shared" si="12"/>
        <v>2.0598006644518185</v>
      </c>
      <c r="N14" s="331">
        <f t="shared" si="12"/>
        <v>0.27368614032030364</v>
      </c>
      <c r="O14" s="283">
        <f>(B14*1000000)/(Q14*1000)*100</f>
        <v>1.2462383641823305</v>
      </c>
      <c r="P14" s="327">
        <f>(C14*1000000)/(Q14*1000)*100</f>
        <v>0.8076695585995721</v>
      </c>
      <c r="Q14" s="359">
        <v>1232509</v>
      </c>
      <c r="S14" s="26"/>
      <c r="T14" s="26"/>
    </row>
    <row r="15" spans="1:20" ht="15">
      <c r="A15" s="357" t="s">
        <v>241</v>
      </c>
      <c r="B15" s="358">
        <v>14.91</v>
      </c>
      <c r="C15" s="142">
        <v>9.936</v>
      </c>
      <c r="D15" s="329">
        <f>C15/B15*100</f>
        <v>66.63983903420522</v>
      </c>
      <c r="E15" s="283">
        <f>D15-D14</f>
        <v>1.8312452842052238</v>
      </c>
      <c r="F15" s="329">
        <f>D15-D$8</f>
        <v>0.6768490009826422</v>
      </c>
      <c r="G15" s="352">
        <f t="shared" si="10"/>
        <v>-0.4499999999999993</v>
      </c>
      <c r="H15" s="321">
        <f t="shared" si="10"/>
        <v>-0.018599999999999284</v>
      </c>
      <c r="I15" s="331">
        <f>H15/G15*100</f>
        <v>4.133333333333181</v>
      </c>
      <c r="J15" s="328">
        <f t="shared" si="11"/>
        <v>-0.14000000000000057</v>
      </c>
      <c r="K15" s="321">
        <f t="shared" si="11"/>
        <v>0.008570000000000633</v>
      </c>
      <c r="L15" s="329">
        <f>K15/J15*100</f>
        <v>-6.121428571428998</v>
      </c>
      <c r="M15" s="352">
        <f t="shared" si="12"/>
        <v>-0.9302325581395386</v>
      </c>
      <c r="N15" s="331">
        <f t="shared" si="12"/>
        <v>0.08632647120151574</v>
      </c>
      <c r="O15" s="283">
        <f>(B15*1000000)/(Q15*1000)*100</f>
        <v>1.2084773347684847</v>
      </c>
      <c r="P15" s="327">
        <f>(C15*1000000)/(Q15*1000)*100</f>
        <v>0.8053273506545716</v>
      </c>
      <c r="Q15" s="359">
        <v>1233784</v>
      </c>
      <c r="S15" s="26"/>
      <c r="T15" s="26"/>
    </row>
    <row r="16" spans="1:20" ht="15">
      <c r="A16" s="357" t="s">
        <v>242</v>
      </c>
      <c r="B16" s="364">
        <v>14.47</v>
      </c>
      <c r="C16" s="365">
        <v>9.95</v>
      </c>
      <c r="D16" s="329">
        <f>C16/B16*100</f>
        <v>68.76295784381477</v>
      </c>
      <c r="E16" s="283">
        <f>D16-D15</f>
        <v>2.123118809609551</v>
      </c>
      <c r="F16" s="329">
        <f>D16-D$8</f>
        <v>2.799967810592193</v>
      </c>
      <c r="G16" s="352">
        <f>B16-B15</f>
        <v>-0.4399999999999995</v>
      </c>
      <c r="H16" s="321">
        <f>C16-C15</f>
        <v>0.013999999999999346</v>
      </c>
      <c r="I16" s="331">
        <f>H16/G16*100</f>
        <v>-3.1818181818180373</v>
      </c>
      <c r="J16" s="367">
        <f>B16-B$8</f>
        <v>-0.5800000000000001</v>
      </c>
      <c r="K16" s="321">
        <f>C16-C$8</f>
        <v>0.02256999999999998</v>
      </c>
      <c r="L16" s="329">
        <f>K16/J16*100</f>
        <v>-3.8913793103448238</v>
      </c>
      <c r="M16" s="366">
        <f>(B16-B$8)/B$8*100</f>
        <v>-3.853820598006645</v>
      </c>
      <c r="N16" s="331">
        <f>(C16-C$8)/C$8*100</f>
        <v>0.22734987806511836</v>
      </c>
      <c r="O16" s="283">
        <f>(B16*1000000)/(Q16*1000)*100</f>
        <v>1.1716038304702658</v>
      </c>
      <c r="P16" s="327">
        <f>(C16*1000000)/(Q16*1000)*100</f>
        <v>0.8056294480427884</v>
      </c>
      <c r="Q16" s="368">
        <v>1235059.1235428052</v>
      </c>
      <c r="S16" s="26"/>
      <c r="T16" s="26"/>
    </row>
    <row r="17" spans="1:20" ht="15">
      <c r="A17" s="357" t="s">
        <v>243</v>
      </c>
      <c r="B17" s="361">
        <v>14.54</v>
      </c>
      <c r="C17" s="142">
        <v>9.96</v>
      </c>
      <c r="D17" s="329">
        <f>C17/B17*100</f>
        <v>68.50068775790923</v>
      </c>
      <c r="E17" s="283">
        <f>D17-D16</f>
        <v>-0.26227008590554135</v>
      </c>
      <c r="F17" s="329">
        <f>D17-D$8</f>
        <v>2.5376977246866517</v>
      </c>
      <c r="G17" s="352">
        <f>B17-B16</f>
        <v>0.06999999999999851</v>
      </c>
      <c r="H17" s="321">
        <f>C17-C16</f>
        <v>0.010000000000001563</v>
      </c>
      <c r="I17" s="331">
        <f>H17/G17*100</f>
        <v>14.285714285716825</v>
      </c>
      <c r="J17" s="328">
        <f>B17-B$8</f>
        <v>-0.5100000000000016</v>
      </c>
      <c r="K17" s="321">
        <f>C17-C$8</f>
        <v>0.03257000000000154</v>
      </c>
      <c r="L17" s="329">
        <f>K17/J17*100</f>
        <v>-6.386274509804204</v>
      </c>
      <c r="M17" s="352">
        <f>(B17-B$8)/B$8*100</f>
        <v>-3.3887043189368873</v>
      </c>
      <c r="N17" s="331">
        <f>(C17-C$8)/C$8*100</f>
        <v>0.32808088296771215</v>
      </c>
      <c r="O17" s="283">
        <f>(B17*1000000)/(Q17*1000)*100</f>
        <v>1.1760572472262971</v>
      </c>
      <c r="P17" s="327">
        <f>(C17*1000000)/(Q17*1000)*100</f>
        <v>0.8056073027767482</v>
      </c>
      <c r="Q17" s="359">
        <v>1236334.3735428052</v>
      </c>
      <c r="S17" s="26"/>
      <c r="T17" s="26"/>
    </row>
    <row r="18" spans="1:20" ht="15">
      <c r="A18" s="357" t="s">
        <v>244</v>
      </c>
      <c r="B18" s="358"/>
      <c r="C18" s="142"/>
      <c r="D18" s="329"/>
      <c r="E18" s="283"/>
      <c r="F18" s="329"/>
      <c r="G18" s="352"/>
      <c r="H18" s="321"/>
      <c r="I18" s="331"/>
      <c r="J18" s="328"/>
      <c r="K18" s="321"/>
      <c r="L18" s="329"/>
      <c r="M18" s="352"/>
      <c r="N18" s="331"/>
      <c r="O18" s="283"/>
      <c r="P18" s="327"/>
      <c r="Q18" s="359"/>
      <c r="S18" s="26"/>
      <c r="T18" s="26"/>
    </row>
    <row r="19" spans="1:20" ht="15">
      <c r="A19" s="357" t="s">
        <v>245</v>
      </c>
      <c r="B19" s="361"/>
      <c r="C19" s="142"/>
      <c r="D19" s="329"/>
      <c r="E19" s="283"/>
      <c r="F19" s="329"/>
      <c r="G19" s="352"/>
      <c r="H19" s="321"/>
      <c r="I19" s="331"/>
      <c r="J19" s="328"/>
      <c r="K19" s="321"/>
      <c r="L19" s="329"/>
      <c r="M19" s="352"/>
      <c r="N19" s="331"/>
      <c r="O19" s="283"/>
      <c r="P19" s="327"/>
      <c r="Q19" s="359"/>
      <c r="S19" s="26"/>
      <c r="T19" s="26"/>
    </row>
    <row r="20" spans="1:17" ht="15.75" thickBot="1">
      <c r="A20" s="373" t="s">
        <v>246</v>
      </c>
      <c r="B20" s="374"/>
      <c r="C20" s="375"/>
      <c r="D20" s="376"/>
      <c r="E20" s="297"/>
      <c r="F20" s="376"/>
      <c r="G20" s="378"/>
      <c r="H20" s="379"/>
      <c r="I20" s="380"/>
      <c r="J20" s="381"/>
      <c r="K20" s="379"/>
      <c r="L20" s="376"/>
      <c r="M20" s="378"/>
      <c r="N20" s="380"/>
      <c r="O20" s="377"/>
      <c r="P20" s="382"/>
      <c r="Q20" s="383"/>
    </row>
    <row r="22" spans="1:17" ht="15">
      <c r="A22" s="26" t="s">
        <v>173</v>
      </c>
      <c r="B22">
        <v>6.22</v>
      </c>
      <c r="C22" s="92">
        <v>3.557471</v>
      </c>
      <c r="D22">
        <f>C22/B22*100</f>
        <v>57.19406752411575</v>
      </c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</row>
    <row r="24" spans="11:20" ht="15">
      <c r="K24" s="2"/>
      <c r="S24" s="26"/>
      <c r="T24" s="26"/>
    </row>
    <row r="25" spans="3:20" ht="15">
      <c r="C25" s="26">
        <v>9.925698</v>
      </c>
      <c r="S25" s="26"/>
      <c r="T25" s="26"/>
    </row>
    <row r="26" spans="3:20" ht="15">
      <c r="C26" s="161"/>
      <c r="S26" s="26"/>
      <c r="T26" s="26"/>
    </row>
  </sheetData>
  <sheetProtection/>
  <mergeCells count="11">
    <mergeCell ref="M3:N3"/>
    <mergeCell ref="I3:I4"/>
    <mergeCell ref="A3:A4"/>
    <mergeCell ref="B3:C3"/>
    <mergeCell ref="D3:D4"/>
    <mergeCell ref="G3:H3"/>
    <mergeCell ref="Q3:Q4"/>
    <mergeCell ref="E3:F3"/>
    <mergeCell ref="J3:K3"/>
    <mergeCell ref="L3:L4"/>
    <mergeCell ref="O3:P3"/>
  </mergeCells>
  <printOptions horizontalCentered="1"/>
  <pageMargins left="0.3937007874015748" right="0.1968503937007874" top="0.7480314960629921" bottom="0.7480314960629921" header="0.31496062992125984" footer="0.31496062992125984"/>
  <pageSetup horizontalDpi="600" verticalDpi="600" orientation="landscape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4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14" sqref="O14"/>
    </sheetView>
  </sheetViews>
  <sheetFormatPr defaultColWidth="9.140625" defaultRowHeight="12.75"/>
  <cols>
    <col min="1" max="1" width="6.421875" style="0" customWidth="1"/>
    <col min="2" max="2" width="18.7109375" style="0" customWidth="1"/>
    <col min="3" max="3" width="10.7109375" style="0" bestFit="1" customWidth="1"/>
    <col min="4" max="4" width="9.140625" style="0" bestFit="1" customWidth="1"/>
    <col min="5" max="5" width="10.7109375" style="0" bestFit="1" customWidth="1"/>
    <col min="6" max="6" width="8.140625" style="0" bestFit="1" customWidth="1"/>
    <col min="7" max="8" width="9.140625" style="0" bestFit="1" customWidth="1"/>
    <col min="9" max="12" width="10.7109375" style="0" bestFit="1" customWidth="1"/>
    <col min="13" max="13" width="12.00390625" style="0" bestFit="1" customWidth="1"/>
    <col min="14" max="14" width="11.7109375" style="0" bestFit="1" customWidth="1"/>
    <col min="16" max="17" width="10.140625" style="0" bestFit="1" customWidth="1"/>
    <col min="19" max="19" width="10.140625" style="0" bestFit="1" customWidth="1"/>
    <col min="20" max="20" width="9.28125" style="0" bestFit="1" customWidth="1"/>
  </cols>
  <sheetData>
    <row r="1" ht="12.75">
      <c r="A1" s="186" t="s">
        <v>258</v>
      </c>
    </row>
    <row r="2" ht="13.5" thickBot="1"/>
    <row r="3" spans="1:14" s="254" customFormat="1" ht="18" customHeight="1">
      <c r="A3" s="639" t="s">
        <v>19</v>
      </c>
      <c r="B3" s="642" t="s">
        <v>20</v>
      </c>
      <c r="C3" s="763" t="s">
        <v>132</v>
      </c>
      <c r="D3" s="764"/>
      <c r="E3" s="765"/>
      <c r="F3" s="763" t="s">
        <v>131</v>
      </c>
      <c r="G3" s="764"/>
      <c r="H3" s="765"/>
      <c r="I3" s="763" t="s">
        <v>133</v>
      </c>
      <c r="J3" s="764"/>
      <c r="K3" s="765"/>
      <c r="L3" s="763" t="s">
        <v>57</v>
      </c>
      <c r="M3" s="764"/>
      <c r="N3" s="765"/>
    </row>
    <row r="4" spans="1:14" s="254" customFormat="1" ht="19.5" customHeight="1" thickBot="1">
      <c r="A4" s="641"/>
      <c r="B4" s="644"/>
      <c r="C4" s="255" t="s">
        <v>87</v>
      </c>
      <c r="D4" s="256" t="s">
        <v>88</v>
      </c>
      <c r="E4" s="257" t="s">
        <v>47</v>
      </c>
      <c r="F4" s="255" t="s">
        <v>87</v>
      </c>
      <c r="G4" s="256" t="s">
        <v>88</v>
      </c>
      <c r="H4" s="257" t="s">
        <v>47</v>
      </c>
      <c r="I4" s="255" t="s">
        <v>87</v>
      </c>
      <c r="J4" s="256" t="s">
        <v>88</v>
      </c>
      <c r="K4" s="257" t="s">
        <v>47</v>
      </c>
      <c r="L4" s="255" t="s">
        <v>87</v>
      </c>
      <c r="M4" s="256" t="s">
        <v>88</v>
      </c>
      <c r="N4" s="257" t="s">
        <v>47</v>
      </c>
    </row>
    <row r="5" spans="1:20" ht="18" customHeight="1">
      <c r="A5" s="243">
        <v>1</v>
      </c>
      <c r="B5" s="244" t="s">
        <v>156</v>
      </c>
      <c r="C5" s="245">
        <f>'Anne-8'!R9</f>
        <v>8353</v>
      </c>
      <c r="D5" s="246">
        <f>'Anne-8'!S9</f>
        <v>5815</v>
      </c>
      <c r="E5" s="247">
        <f>SUM(C5:D5)</f>
        <v>14168</v>
      </c>
      <c r="F5" s="245">
        <f>'Anne-7'!Q9+'Anne-7'!T9</f>
        <v>7486</v>
      </c>
      <c r="G5" s="246">
        <f>'Anne-7'!R9+'Anne-7'!U9</f>
        <v>4420</v>
      </c>
      <c r="H5" s="247">
        <f>SUM(F5:G5)</f>
        <v>11906</v>
      </c>
      <c r="I5" s="245">
        <f>'Anne-6'!AC9</f>
        <v>125355</v>
      </c>
      <c r="J5" s="246">
        <f>'Anne-6'!AD9</f>
        <v>91063</v>
      </c>
      <c r="K5" s="247">
        <f>SUM(I5:J5)</f>
        <v>216418</v>
      </c>
      <c r="L5" s="245">
        <f>I5+F5+C5</f>
        <v>141194</v>
      </c>
      <c r="M5" s="246">
        <f>J5+G5+D5</f>
        <v>101298</v>
      </c>
      <c r="N5" s="247">
        <f>SUM(L5:M5)</f>
        <v>242492</v>
      </c>
      <c r="S5" s="81">
        <f>I5-P5</f>
        <v>125355</v>
      </c>
      <c r="T5" s="81">
        <f>J5-Q5</f>
        <v>91063</v>
      </c>
    </row>
    <row r="6" spans="1:20" ht="18" customHeight="1">
      <c r="A6" s="239">
        <v>2</v>
      </c>
      <c r="B6" s="240" t="s">
        <v>22</v>
      </c>
      <c r="C6" s="248">
        <f>'Anne-8'!R10</f>
        <v>1132654</v>
      </c>
      <c r="D6" s="249">
        <f>'Anne-8'!S10</f>
        <v>540875</v>
      </c>
      <c r="E6" s="250">
        <f aca="true" t="shared" si="0" ref="E6:E30">SUM(C6:D6)</f>
        <v>1673529</v>
      </c>
      <c r="F6" s="248">
        <f>'Anne-7'!Q10+'Anne-7'!T10</f>
        <v>17933</v>
      </c>
      <c r="G6" s="249">
        <f>'Anne-7'!R10+'Anne-7'!U10</f>
        <v>58224</v>
      </c>
      <c r="H6" s="250">
        <f aca="true" t="shared" si="1" ref="H6:H30">SUM(F6:G6)</f>
        <v>76157</v>
      </c>
      <c r="I6" s="248">
        <f>'Anne-6'!AC10</f>
        <v>4425061</v>
      </c>
      <c r="J6" s="249">
        <f>'Anne-6'!AD10</f>
        <v>5285442</v>
      </c>
      <c r="K6" s="250">
        <f aca="true" t="shared" si="2" ref="K6:K30">SUM(I6:J6)</f>
        <v>9710503</v>
      </c>
      <c r="L6" s="248">
        <f aca="true" t="shared" si="3" ref="L6:L30">I6+F6+C6</f>
        <v>5575648</v>
      </c>
      <c r="M6" s="249">
        <f aca="true" t="shared" si="4" ref="M6:M30">J6+G6+D6</f>
        <v>5884541</v>
      </c>
      <c r="N6" s="250">
        <f aca="true" t="shared" si="5" ref="N6:N30">SUM(L6:M6)</f>
        <v>11460189</v>
      </c>
      <c r="S6" s="81">
        <f aca="true" t="shared" si="6" ref="S6:S30">I6-P6</f>
        <v>4425061</v>
      </c>
      <c r="T6" s="81">
        <f aca="true" t="shared" si="7" ref="T6:T30">J6-Q6</f>
        <v>5285442</v>
      </c>
    </row>
    <row r="7" spans="1:20" ht="18" customHeight="1">
      <c r="A7" s="239">
        <v>3</v>
      </c>
      <c r="B7" s="240" t="s">
        <v>23</v>
      </c>
      <c r="C7" s="248">
        <f>'Anne-8'!R11</f>
        <v>149918</v>
      </c>
      <c r="D7" s="249">
        <f>'Anne-8'!S11</f>
        <v>35801</v>
      </c>
      <c r="E7" s="250">
        <f t="shared" si="0"/>
        <v>185719</v>
      </c>
      <c r="F7" s="248">
        <f>'Anne-7'!Q11+'Anne-7'!T11</f>
        <v>3489</v>
      </c>
      <c r="G7" s="249">
        <f>'Anne-7'!R11+'Anne-7'!U11</f>
        <v>92139</v>
      </c>
      <c r="H7" s="250">
        <f t="shared" si="1"/>
        <v>95628</v>
      </c>
      <c r="I7" s="248">
        <f>'Anne-6'!AC11</f>
        <v>837207</v>
      </c>
      <c r="J7" s="249">
        <f>'Anne-6'!AD11</f>
        <v>320718</v>
      </c>
      <c r="K7" s="250">
        <f t="shared" si="2"/>
        <v>1157925</v>
      </c>
      <c r="L7" s="248">
        <f t="shared" si="3"/>
        <v>990614</v>
      </c>
      <c r="M7" s="249">
        <f t="shared" si="4"/>
        <v>448658</v>
      </c>
      <c r="N7" s="250">
        <f t="shared" si="5"/>
        <v>1439272</v>
      </c>
      <c r="S7" s="81">
        <f t="shared" si="6"/>
        <v>837207</v>
      </c>
      <c r="T7" s="81">
        <f t="shared" si="7"/>
        <v>320718</v>
      </c>
    </row>
    <row r="8" spans="1:20" ht="18" customHeight="1">
      <c r="A8" s="239">
        <v>4</v>
      </c>
      <c r="B8" s="240" t="s">
        <v>24</v>
      </c>
      <c r="C8" s="248">
        <f>'Anne-8'!R12</f>
        <v>112219</v>
      </c>
      <c r="D8" s="249">
        <f>'Anne-8'!S12</f>
        <v>94523</v>
      </c>
      <c r="E8" s="250">
        <f t="shared" si="0"/>
        <v>206742</v>
      </c>
      <c r="F8" s="248">
        <f>'Anne-7'!Q12+'Anne-7'!T12</f>
        <v>8060</v>
      </c>
      <c r="G8" s="249">
        <f>'Anne-7'!R12+'Anne-7'!U12</f>
        <v>106156</v>
      </c>
      <c r="H8" s="250">
        <f t="shared" si="1"/>
        <v>114216</v>
      </c>
      <c r="I8" s="248">
        <f>'Anne-6'!AC12</f>
        <v>1299530</v>
      </c>
      <c r="J8" s="249">
        <f>'Anne-6'!AD12</f>
        <v>787828</v>
      </c>
      <c r="K8" s="250">
        <f t="shared" si="2"/>
        <v>2087358</v>
      </c>
      <c r="L8" s="248">
        <f t="shared" si="3"/>
        <v>1419809</v>
      </c>
      <c r="M8" s="249">
        <f t="shared" si="4"/>
        <v>988507</v>
      </c>
      <c r="N8" s="250">
        <f t="shared" si="5"/>
        <v>2408316</v>
      </c>
      <c r="S8" s="81">
        <f t="shared" si="6"/>
        <v>1299530</v>
      </c>
      <c r="T8" s="81">
        <f t="shared" si="7"/>
        <v>787828</v>
      </c>
    </row>
    <row r="9" spans="1:20" ht="18" customHeight="1">
      <c r="A9" s="239">
        <v>5</v>
      </c>
      <c r="B9" s="240" t="s">
        <v>25</v>
      </c>
      <c r="C9" s="248">
        <f>'Anne-8'!R13</f>
        <v>117359</v>
      </c>
      <c r="D9" s="249">
        <f>'Anne-8'!S13</f>
        <v>21220</v>
      </c>
      <c r="E9" s="250">
        <f t="shared" si="0"/>
        <v>138579</v>
      </c>
      <c r="F9" s="248">
        <f>'Anne-7'!Q13+'Anne-7'!T13</f>
        <v>26678</v>
      </c>
      <c r="G9" s="249">
        <f>'Anne-7'!R13+'Anne-7'!U13</f>
        <v>86717</v>
      </c>
      <c r="H9" s="250">
        <f t="shared" si="1"/>
        <v>113395</v>
      </c>
      <c r="I9" s="248">
        <f>'Anne-6'!AC13</f>
        <v>1130463</v>
      </c>
      <c r="J9" s="249">
        <f>'Anne-6'!AD13</f>
        <v>611843</v>
      </c>
      <c r="K9" s="250">
        <f t="shared" si="2"/>
        <v>1742306</v>
      </c>
      <c r="L9" s="248">
        <f t="shared" si="3"/>
        <v>1274500</v>
      </c>
      <c r="M9" s="249">
        <f t="shared" si="4"/>
        <v>719780</v>
      </c>
      <c r="N9" s="250">
        <f t="shared" si="5"/>
        <v>1994280</v>
      </c>
      <c r="S9" s="81">
        <f t="shared" si="6"/>
        <v>1130463</v>
      </c>
      <c r="T9" s="81">
        <f t="shared" si="7"/>
        <v>611843</v>
      </c>
    </row>
    <row r="10" spans="1:20" ht="18" customHeight="1">
      <c r="A10" s="239">
        <v>6</v>
      </c>
      <c r="B10" s="240" t="s">
        <v>26</v>
      </c>
      <c r="C10" s="248">
        <f>'Anne-8'!R14</f>
        <v>1142496</v>
      </c>
      <c r="D10" s="249">
        <f>'Anne-8'!S14</f>
        <v>325969</v>
      </c>
      <c r="E10" s="250">
        <f t="shared" si="0"/>
        <v>1468465</v>
      </c>
      <c r="F10" s="248">
        <f>'Anne-7'!Q14+'Anne-7'!T14</f>
        <v>37747</v>
      </c>
      <c r="G10" s="249">
        <f>'Anne-7'!R14+'Anne-7'!U14</f>
        <v>65904</v>
      </c>
      <c r="H10" s="250">
        <f t="shared" si="1"/>
        <v>103651</v>
      </c>
      <c r="I10" s="248">
        <f>'Anne-6'!AC14</f>
        <v>2806163</v>
      </c>
      <c r="J10" s="249">
        <f>'Anne-6'!AD14</f>
        <v>1511000</v>
      </c>
      <c r="K10" s="250">
        <f t="shared" si="2"/>
        <v>4317163</v>
      </c>
      <c r="L10" s="248">
        <f t="shared" si="3"/>
        <v>3986406</v>
      </c>
      <c r="M10" s="249">
        <f t="shared" si="4"/>
        <v>1902873</v>
      </c>
      <c r="N10" s="250">
        <f t="shared" si="5"/>
        <v>5889279</v>
      </c>
      <c r="S10" s="81">
        <f t="shared" si="6"/>
        <v>2806163</v>
      </c>
      <c r="T10" s="81">
        <f t="shared" si="7"/>
        <v>1511000</v>
      </c>
    </row>
    <row r="11" spans="1:20" ht="18" customHeight="1">
      <c r="A11" s="239">
        <v>7</v>
      </c>
      <c r="B11" s="240" t="s">
        <v>27</v>
      </c>
      <c r="C11" s="248">
        <f>'Anne-8'!R15</f>
        <v>314600</v>
      </c>
      <c r="D11" s="249">
        <f>'Anne-8'!S15</f>
        <v>144347</v>
      </c>
      <c r="E11" s="250">
        <f t="shared" si="0"/>
        <v>458947</v>
      </c>
      <c r="F11" s="248">
        <f>'Anne-7'!Q15+'Anne-7'!T15</f>
        <v>2993</v>
      </c>
      <c r="G11" s="249">
        <f>'Anne-7'!R15+'Anne-7'!U15</f>
        <v>13938</v>
      </c>
      <c r="H11" s="250">
        <f t="shared" si="1"/>
        <v>16931</v>
      </c>
      <c r="I11" s="248">
        <f>'Anne-6'!AC15</f>
        <v>1672680</v>
      </c>
      <c r="J11" s="249">
        <f>'Anne-6'!AD15</f>
        <v>1567325</v>
      </c>
      <c r="K11" s="250">
        <f t="shared" si="2"/>
        <v>3240005</v>
      </c>
      <c r="L11" s="248">
        <f t="shared" si="3"/>
        <v>1990273</v>
      </c>
      <c r="M11" s="249">
        <f t="shared" si="4"/>
        <v>1725610</v>
      </c>
      <c r="N11" s="250">
        <f t="shared" si="5"/>
        <v>3715883</v>
      </c>
      <c r="S11" s="81">
        <f t="shared" si="6"/>
        <v>1672680</v>
      </c>
      <c r="T11" s="81">
        <f t="shared" si="7"/>
        <v>1567325</v>
      </c>
    </row>
    <row r="12" spans="1:20" ht="18" customHeight="1">
      <c r="A12" s="239">
        <v>8</v>
      </c>
      <c r="B12" s="240" t="s">
        <v>28</v>
      </c>
      <c r="C12" s="248">
        <f>'Anne-8'!R16</f>
        <v>61516</v>
      </c>
      <c r="D12" s="249">
        <f>'Anne-8'!S16</f>
        <v>188984</v>
      </c>
      <c r="E12" s="250">
        <f t="shared" si="0"/>
        <v>250500</v>
      </c>
      <c r="F12" s="248">
        <f>'Anne-7'!Q16+'Anne-7'!T16</f>
        <v>2427</v>
      </c>
      <c r="G12" s="249">
        <f>'Anne-7'!R16+'Anne-7'!U16</f>
        <v>49672</v>
      </c>
      <c r="H12" s="250">
        <f t="shared" si="1"/>
        <v>52099</v>
      </c>
      <c r="I12" s="248">
        <f>'Anne-6'!AC16</f>
        <v>578691</v>
      </c>
      <c r="J12" s="249">
        <f>'Anne-6'!AD16</f>
        <v>897006</v>
      </c>
      <c r="K12" s="250">
        <f t="shared" si="2"/>
        <v>1475697</v>
      </c>
      <c r="L12" s="248">
        <f t="shared" si="3"/>
        <v>642634</v>
      </c>
      <c r="M12" s="249">
        <f t="shared" si="4"/>
        <v>1135662</v>
      </c>
      <c r="N12" s="250">
        <f t="shared" si="5"/>
        <v>1778296</v>
      </c>
      <c r="S12" s="81">
        <f t="shared" si="6"/>
        <v>578691</v>
      </c>
      <c r="T12" s="81">
        <f t="shared" si="7"/>
        <v>897006</v>
      </c>
    </row>
    <row r="13" spans="1:20" ht="18" customHeight="1">
      <c r="A13" s="239">
        <v>9</v>
      </c>
      <c r="B13" s="240" t="s">
        <v>29</v>
      </c>
      <c r="C13" s="248">
        <f>'Anne-8'!R17</f>
        <v>155099</v>
      </c>
      <c r="D13" s="249">
        <f>'Anne-8'!S17</f>
        <v>33425</v>
      </c>
      <c r="E13" s="250">
        <f t="shared" si="0"/>
        <v>188524</v>
      </c>
      <c r="F13" s="248">
        <f>'Anne-7'!Q17+'Anne-7'!T17</f>
        <v>39301</v>
      </c>
      <c r="G13" s="249">
        <f>'Anne-7'!R17+'Anne-7'!U17</f>
        <v>24362</v>
      </c>
      <c r="H13" s="250">
        <f t="shared" si="1"/>
        <v>63663</v>
      </c>
      <c r="I13" s="248">
        <f>'Anne-6'!AC17</f>
        <v>1072821</v>
      </c>
      <c r="J13" s="249">
        <f>'Anne-6'!AD17</f>
        <v>110009</v>
      </c>
      <c r="K13" s="250">
        <f t="shared" si="2"/>
        <v>1182830</v>
      </c>
      <c r="L13" s="248">
        <f t="shared" si="3"/>
        <v>1267221</v>
      </c>
      <c r="M13" s="249">
        <f t="shared" si="4"/>
        <v>167796</v>
      </c>
      <c r="N13" s="250">
        <f t="shared" si="5"/>
        <v>1435017</v>
      </c>
      <c r="S13" s="81">
        <f t="shared" si="6"/>
        <v>1072821</v>
      </c>
      <c r="T13" s="81">
        <f t="shared" si="7"/>
        <v>110009</v>
      </c>
    </row>
    <row r="14" spans="1:20" ht="18" customHeight="1">
      <c r="A14" s="239">
        <v>10</v>
      </c>
      <c r="B14" s="240" t="s">
        <v>30</v>
      </c>
      <c r="C14" s="248">
        <f>'Anne-8'!R18</f>
        <v>140665</v>
      </c>
      <c r="D14" s="249">
        <f>'Anne-8'!S18</f>
        <v>14696</v>
      </c>
      <c r="E14" s="250">
        <f t="shared" si="0"/>
        <v>155361</v>
      </c>
      <c r="F14" s="248">
        <f>'Anne-7'!Q18+'Anne-7'!T18</f>
        <v>18970</v>
      </c>
      <c r="G14" s="249">
        <f>'Anne-7'!R18+'Anne-7'!U18</f>
        <v>71748</v>
      </c>
      <c r="H14" s="250">
        <f t="shared" si="1"/>
        <v>90718</v>
      </c>
      <c r="I14" s="248">
        <f>'Anne-6'!AC18</f>
        <v>648305</v>
      </c>
      <c r="J14" s="249">
        <f>'Anne-6'!AD18</f>
        <v>236980</v>
      </c>
      <c r="K14" s="250">
        <f t="shared" si="2"/>
        <v>885285</v>
      </c>
      <c r="L14" s="248">
        <f t="shared" si="3"/>
        <v>807940</v>
      </c>
      <c r="M14" s="249">
        <f t="shared" si="4"/>
        <v>323424</v>
      </c>
      <c r="N14" s="250">
        <f t="shared" si="5"/>
        <v>1131364</v>
      </c>
      <c r="S14" s="81">
        <f t="shared" si="6"/>
        <v>648305</v>
      </c>
      <c r="T14" s="81">
        <f t="shared" si="7"/>
        <v>236980</v>
      </c>
    </row>
    <row r="15" spans="1:20" ht="18" customHeight="1">
      <c r="A15" s="239">
        <v>11</v>
      </c>
      <c r="B15" s="240" t="s">
        <v>31</v>
      </c>
      <c r="C15" s="248">
        <f>'Anne-8'!R19</f>
        <v>1225845</v>
      </c>
      <c r="D15" s="249">
        <f>'Anne-8'!S19</f>
        <v>333140</v>
      </c>
      <c r="E15" s="250">
        <f t="shared" si="0"/>
        <v>1558985</v>
      </c>
      <c r="F15" s="248">
        <f>'Anne-7'!Q19+'Anne-7'!T19</f>
        <v>31757</v>
      </c>
      <c r="G15" s="249">
        <f>'Anne-7'!R19+'Anne-7'!U19</f>
        <v>106690</v>
      </c>
      <c r="H15" s="250">
        <f t="shared" si="1"/>
        <v>138447</v>
      </c>
      <c r="I15" s="248">
        <f>'Anne-6'!AC19</f>
        <v>5597012</v>
      </c>
      <c r="J15" s="249">
        <f>'Anne-6'!AD19</f>
        <v>1495485</v>
      </c>
      <c r="K15" s="250">
        <f t="shared" si="2"/>
        <v>7092497</v>
      </c>
      <c r="L15" s="248">
        <f t="shared" si="3"/>
        <v>6854614</v>
      </c>
      <c r="M15" s="249">
        <f t="shared" si="4"/>
        <v>1935315</v>
      </c>
      <c r="N15" s="250">
        <f t="shared" si="5"/>
        <v>8789929</v>
      </c>
      <c r="S15" s="81">
        <f t="shared" si="6"/>
        <v>5597012</v>
      </c>
      <c r="T15" s="81">
        <f t="shared" si="7"/>
        <v>1495485</v>
      </c>
    </row>
    <row r="16" spans="1:20" ht="18" customHeight="1">
      <c r="A16" s="239">
        <v>12</v>
      </c>
      <c r="B16" s="240" t="s">
        <v>32</v>
      </c>
      <c r="C16" s="248">
        <f>'Anne-8'!R20</f>
        <v>881333</v>
      </c>
      <c r="D16" s="249">
        <f>'Anne-8'!S20</f>
        <v>1922613</v>
      </c>
      <c r="E16" s="250">
        <f t="shared" si="0"/>
        <v>2803946</v>
      </c>
      <c r="F16" s="248">
        <f>'Anne-7'!Q20+'Anne-7'!T20</f>
        <v>38905</v>
      </c>
      <c r="G16" s="249">
        <f>'Anne-7'!R20+'Anne-7'!U20</f>
        <v>229977</v>
      </c>
      <c r="H16" s="250">
        <f t="shared" si="1"/>
        <v>268882</v>
      </c>
      <c r="I16" s="248">
        <f>'Anne-6'!AC20</f>
        <v>4721150</v>
      </c>
      <c r="J16" s="249">
        <f>'Anne-6'!AD20</f>
        <v>3414541</v>
      </c>
      <c r="K16" s="250">
        <f t="shared" si="2"/>
        <v>8135691</v>
      </c>
      <c r="L16" s="248">
        <f t="shared" si="3"/>
        <v>5641388</v>
      </c>
      <c r="M16" s="249">
        <f t="shared" si="4"/>
        <v>5567131</v>
      </c>
      <c r="N16" s="250">
        <f t="shared" si="5"/>
        <v>11208519</v>
      </c>
      <c r="S16" s="81">
        <f t="shared" si="6"/>
        <v>4721150</v>
      </c>
      <c r="T16" s="81">
        <f t="shared" si="7"/>
        <v>3414541</v>
      </c>
    </row>
    <row r="17" spans="1:20" ht="18" customHeight="1">
      <c r="A17" s="239">
        <v>13</v>
      </c>
      <c r="B17" s="240" t="s">
        <v>33</v>
      </c>
      <c r="C17" s="248">
        <f>'Anne-8'!R21</f>
        <v>553524</v>
      </c>
      <c r="D17" s="249">
        <f>'Anne-8'!S21</f>
        <v>134807</v>
      </c>
      <c r="E17" s="250">
        <f t="shared" si="0"/>
        <v>688331</v>
      </c>
      <c r="F17" s="248">
        <f>'Anne-7'!Q21+'Anne-7'!T21</f>
        <v>22700</v>
      </c>
      <c r="G17" s="249">
        <f>'Anne-7'!R21+'Anne-7'!U21</f>
        <v>52011</v>
      </c>
      <c r="H17" s="250">
        <f t="shared" si="1"/>
        <v>74711</v>
      </c>
      <c r="I17" s="248">
        <f>'Anne-6'!AC21</f>
        <v>2004735</v>
      </c>
      <c r="J17" s="249">
        <f>'Anne-6'!AD21</f>
        <v>1064789</v>
      </c>
      <c r="K17" s="250">
        <f t="shared" si="2"/>
        <v>3069524</v>
      </c>
      <c r="L17" s="248">
        <f t="shared" si="3"/>
        <v>2580959</v>
      </c>
      <c r="M17" s="249">
        <f t="shared" si="4"/>
        <v>1251607</v>
      </c>
      <c r="N17" s="250">
        <f t="shared" si="5"/>
        <v>3832566</v>
      </c>
      <c r="S17" s="81">
        <f t="shared" si="6"/>
        <v>2004735</v>
      </c>
      <c r="T17" s="81">
        <f t="shared" si="7"/>
        <v>1064789</v>
      </c>
    </row>
    <row r="18" spans="1:20" ht="18" customHeight="1">
      <c r="A18" s="239">
        <v>14</v>
      </c>
      <c r="B18" s="240" t="s">
        <v>34</v>
      </c>
      <c r="C18" s="248">
        <f>'Anne-8'!R22</f>
        <v>1394207</v>
      </c>
      <c r="D18" s="249">
        <f>'Anne-8'!S22</f>
        <v>511092</v>
      </c>
      <c r="E18" s="250">
        <f t="shared" si="0"/>
        <v>1905299</v>
      </c>
      <c r="F18" s="248">
        <f>'Anne-7'!Q22+'Anne-7'!T22</f>
        <v>37400</v>
      </c>
      <c r="G18" s="249">
        <f>'Anne-7'!R22+'Anne-7'!U22</f>
        <v>89781</v>
      </c>
      <c r="H18" s="250">
        <f t="shared" si="1"/>
        <v>127181</v>
      </c>
      <c r="I18" s="248">
        <f>'Anne-6'!AC22</f>
        <v>4148207</v>
      </c>
      <c r="J18" s="249">
        <f>'Anne-6'!AD22</f>
        <v>2393905</v>
      </c>
      <c r="K18" s="250">
        <f t="shared" si="2"/>
        <v>6542112</v>
      </c>
      <c r="L18" s="248">
        <f t="shared" si="3"/>
        <v>5579814</v>
      </c>
      <c r="M18" s="249">
        <f t="shared" si="4"/>
        <v>2994778</v>
      </c>
      <c r="N18" s="250">
        <f t="shared" si="5"/>
        <v>8574592</v>
      </c>
      <c r="S18" s="81">
        <f t="shared" si="6"/>
        <v>4148207</v>
      </c>
      <c r="T18" s="81">
        <f t="shared" si="7"/>
        <v>2393905</v>
      </c>
    </row>
    <row r="19" spans="1:20" ht="18" customHeight="1">
      <c r="A19" s="239">
        <v>15</v>
      </c>
      <c r="B19" s="240" t="s">
        <v>35</v>
      </c>
      <c r="C19" s="248">
        <f>'Anne-8'!R23</f>
        <v>58131</v>
      </c>
      <c r="D19" s="249">
        <f>'Anne-8'!S23</f>
        <v>19881</v>
      </c>
      <c r="E19" s="250">
        <f t="shared" si="0"/>
        <v>78012</v>
      </c>
      <c r="F19" s="248">
        <f>'Anne-7'!Q23+'Anne-7'!T23</f>
        <v>834</v>
      </c>
      <c r="G19" s="249">
        <f>'Anne-7'!R23+'Anne-7'!U23</f>
        <v>66660</v>
      </c>
      <c r="H19" s="250">
        <f t="shared" si="1"/>
        <v>67494</v>
      </c>
      <c r="I19" s="248">
        <f>'Anne-6'!AC23</f>
        <v>423282</v>
      </c>
      <c r="J19" s="249">
        <f>'Anne-6'!AD23</f>
        <v>168020</v>
      </c>
      <c r="K19" s="250">
        <f t="shared" si="2"/>
        <v>591302</v>
      </c>
      <c r="L19" s="248">
        <f t="shared" si="3"/>
        <v>482247</v>
      </c>
      <c r="M19" s="249">
        <f t="shared" si="4"/>
        <v>254561</v>
      </c>
      <c r="N19" s="250">
        <f t="shared" si="5"/>
        <v>736808</v>
      </c>
      <c r="S19" s="81">
        <f t="shared" si="6"/>
        <v>423282</v>
      </c>
      <c r="T19" s="81">
        <f t="shared" si="7"/>
        <v>168020</v>
      </c>
    </row>
    <row r="20" spans="1:20" ht="18" customHeight="1">
      <c r="A20" s="239">
        <v>16</v>
      </c>
      <c r="B20" s="240" t="s">
        <v>36</v>
      </c>
      <c r="C20" s="248">
        <f>'Anne-8'!R24</f>
        <v>48705</v>
      </c>
      <c r="D20" s="249">
        <f>'Anne-8'!S24</f>
        <v>15319</v>
      </c>
      <c r="E20" s="250">
        <f t="shared" si="0"/>
        <v>64024</v>
      </c>
      <c r="F20" s="248">
        <f>'Anne-7'!Q24+'Anne-7'!T24</f>
        <v>38767</v>
      </c>
      <c r="G20" s="249">
        <f>'Anne-7'!R24+'Anne-7'!U24</f>
        <v>46909</v>
      </c>
      <c r="H20" s="250">
        <f t="shared" si="1"/>
        <v>85676</v>
      </c>
      <c r="I20" s="248">
        <f>'Anne-6'!AC24</f>
        <v>459113</v>
      </c>
      <c r="J20" s="249">
        <f>'Anne-6'!AD24</f>
        <v>264469</v>
      </c>
      <c r="K20" s="250">
        <f t="shared" si="2"/>
        <v>723582</v>
      </c>
      <c r="L20" s="248">
        <f t="shared" si="3"/>
        <v>546585</v>
      </c>
      <c r="M20" s="249">
        <f t="shared" si="4"/>
        <v>326697</v>
      </c>
      <c r="N20" s="250">
        <f t="shared" si="5"/>
        <v>873282</v>
      </c>
      <c r="S20" s="81">
        <f t="shared" si="6"/>
        <v>459113</v>
      </c>
      <c r="T20" s="81">
        <f t="shared" si="7"/>
        <v>264469</v>
      </c>
    </row>
    <row r="21" spans="1:20" ht="18" customHeight="1">
      <c r="A21" s="239">
        <v>17</v>
      </c>
      <c r="B21" s="240" t="s">
        <v>37</v>
      </c>
      <c r="C21" s="248">
        <f>'Anne-8'!R25</f>
        <v>244937</v>
      </c>
      <c r="D21" s="249">
        <f>'Anne-8'!S25</f>
        <v>94460</v>
      </c>
      <c r="E21" s="250">
        <f t="shared" si="0"/>
        <v>339397</v>
      </c>
      <c r="F21" s="248">
        <f>'Anne-7'!Q25+'Anne-7'!T25</f>
        <v>22163</v>
      </c>
      <c r="G21" s="249">
        <f>'Anne-7'!R25+'Anne-7'!U25</f>
        <v>35622</v>
      </c>
      <c r="H21" s="250">
        <f t="shared" si="1"/>
        <v>57785</v>
      </c>
      <c r="I21" s="248">
        <f>'Anne-6'!AC25</f>
        <v>2178880</v>
      </c>
      <c r="J21" s="249">
        <f>'Anne-6'!AD25</f>
        <v>1082426</v>
      </c>
      <c r="K21" s="250">
        <f t="shared" si="2"/>
        <v>3261306</v>
      </c>
      <c r="L21" s="248">
        <f t="shared" si="3"/>
        <v>2445980</v>
      </c>
      <c r="M21" s="249">
        <f t="shared" si="4"/>
        <v>1212508</v>
      </c>
      <c r="N21" s="250">
        <f t="shared" si="5"/>
        <v>3658488</v>
      </c>
      <c r="S21" s="81">
        <f t="shared" si="6"/>
        <v>2178880</v>
      </c>
      <c r="T21" s="81">
        <f t="shared" si="7"/>
        <v>1082426</v>
      </c>
    </row>
    <row r="22" spans="1:20" ht="18" customHeight="1">
      <c r="A22" s="239">
        <v>18</v>
      </c>
      <c r="B22" s="240" t="s">
        <v>38</v>
      </c>
      <c r="C22" s="248">
        <f>'Anne-8'!R26</f>
        <v>555478</v>
      </c>
      <c r="D22" s="249">
        <f>'Anne-8'!S26</f>
        <v>352940</v>
      </c>
      <c r="E22" s="250">
        <f t="shared" si="0"/>
        <v>908418</v>
      </c>
      <c r="F22" s="248">
        <f>'Anne-7'!Q26+'Anne-7'!T26</f>
        <v>14778</v>
      </c>
      <c r="G22" s="249">
        <f>'Anne-7'!R26+'Anne-7'!U26</f>
        <v>17920</v>
      </c>
      <c r="H22" s="250">
        <f t="shared" si="1"/>
        <v>32698</v>
      </c>
      <c r="I22" s="248">
        <f>'Anne-6'!AC26</f>
        <v>2766462</v>
      </c>
      <c r="J22" s="249">
        <f>'Anne-6'!AD26</f>
        <v>1759448</v>
      </c>
      <c r="K22" s="250">
        <f t="shared" si="2"/>
        <v>4525910</v>
      </c>
      <c r="L22" s="248">
        <f t="shared" si="3"/>
        <v>3336718</v>
      </c>
      <c r="M22" s="249">
        <f t="shared" si="4"/>
        <v>2130308</v>
      </c>
      <c r="N22" s="250">
        <f t="shared" si="5"/>
        <v>5467026</v>
      </c>
      <c r="S22" s="81">
        <f t="shared" si="6"/>
        <v>2766462</v>
      </c>
      <c r="T22" s="81">
        <f t="shared" si="7"/>
        <v>1759448</v>
      </c>
    </row>
    <row r="23" spans="1:20" ht="18" customHeight="1">
      <c r="A23" s="239">
        <v>19</v>
      </c>
      <c r="B23" s="240" t="s">
        <v>39</v>
      </c>
      <c r="C23" s="248">
        <f>'Anne-8'!R27</f>
        <v>610227</v>
      </c>
      <c r="D23" s="249">
        <f>'Anne-8'!S27</f>
        <v>212944</v>
      </c>
      <c r="E23" s="250">
        <f t="shared" si="0"/>
        <v>823171</v>
      </c>
      <c r="F23" s="248">
        <f>'Anne-7'!Q27+'Anne-7'!T27</f>
        <v>29902</v>
      </c>
      <c r="G23" s="249">
        <f>'Anne-7'!R27+'Anne-7'!U27</f>
        <v>128980</v>
      </c>
      <c r="H23" s="250">
        <f t="shared" si="1"/>
        <v>158882</v>
      </c>
      <c r="I23" s="248">
        <f>'Anne-6'!AC27</f>
        <v>4013998</v>
      </c>
      <c r="J23" s="249">
        <f>'Anne-6'!AD27</f>
        <v>1825664</v>
      </c>
      <c r="K23" s="250">
        <f t="shared" si="2"/>
        <v>5839662</v>
      </c>
      <c r="L23" s="248">
        <f t="shared" si="3"/>
        <v>4654127</v>
      </c>
      <c r="M23" s="249">
        <f t="shared" si="4"/>
        <v>2167588</v>
      </c>
      <c r="N23" s="250">
        <f t="shared" si="5"/>
        <v>6821715</v>
      </c>
      <c r="S23" s="81">
        <f t="shared" si="6"/>
        <v>4013998</v>
      </c>
      <c r="T23" s="81">
        <f t="shared" si="7"/>
        <v>1825664</v>
      </c>
    </row>
    <row r="24" spans="1:20" ht="18" customHeight="1">
      <c r="A24" s="239">
        <v>20</v>
      </c>
      <c r="B24" s="240" t="s">
        <v>40</v>
      </c>
      <c r="C24" s="248">
        <f>'Anne-8'!R28</f>
        <v>988096</v>
      </c>
      <c r="D24" s="249">
        <f>'Anne-8'!S28</f>
        <v>490350</v>
      </c>
      <c r="E24" s="250">
        <f t="shared" si="0"/>
        <v>1478446</v>
      </c>
      <c r="F24" s="248">
        <f>'Anne-7'!Q28+'Anne-7'!T28</f>
        <v>7478</v>
      </c>
      <c r="G24" s="249">
        <f>'Anne-7'!R28+'Anne-7'!U28</f>
        <v>77635</v>
      </c>
      <c r="H24" s="250">
        <f t="shared" si="1"/>
        <v>85113</v>
      </c>
      <c r="I24" s="248">
        <f>'Anne-6'!AC28</f>
        <v>7304281</v>
      </c>
      <c r="J24" s="249">
        <f>'Anne-6'!AD28</f>
        <v>900107</v>
      </c>
      <c r="K24" s="250">
        <f t="shared" si="2"/>
        <v>8204388</v>
      </c>
      <c r="L24" s="248">
        <f t="shared" si="3"/>
        <v>8299855</v>
      </c>
      <c r="M24" s="249">
        <f t="shared" si="4"/>
        <v>1468092</v>
      </c>
      <c r="N24" s="250">
        <f t="shared" si="5"/>
        <v>9767947</v>
      </c>
      <c r="S24" s="81">
        <f t="shared" si="6"/>
        <v>7304281</v>
      </c>
      <c r="T24" s="81">
        <f t="shared" si="7"/>
        <v>900107</v>
      </c>
    </row>
    <row r="25" spans="1:20" ht="18" customHeight="1">
      <c r="A25" s="239">
        <v>21</v>
      </c>
      <c r="B25" s="240" t="s">
        <v>41</v>
      </c>
      <c r="C25" s="248">
        <f>'Anne-8'!R29</f>
        <v>127429</v>
      </c>
      <c r="D25" s="249">
        <f>'Anne-8'!S29</f>
        <v>30451</v>
      </c>
      <c r="E25" s="250">
        <f t="shared" si="0"/>
        <v>157880</v>
      </c>
      <c r="F25" s="248">
        <f>'Anne-7'!Q29+'Anne-7'!T29</f>
        <v>229</v>
      </c>
      <c r="G25" s="249">
        <f>'Anne-7'!R29+'Anne-7'!U29</f>
        <v>40707</v>
      </c>
      <c r="H25" s="250">
        <f t="shared" si="1"/>
        <v>40936</v>
      </c>
      <c r="I25" s="248">
        <f>'Anne-6'!AC29</f>
        <v>558823</v>
      </c>
      <c r="J25" s="249">
        <f>'Anne-6'!AD29</f>
        <v>351176</v>
      </c>
      <c r="K25" s="250">
        <f t="shared" si="2"/>
        <v>909999</v>
      </c>
      <c r="L25" s="248">
        <f t="shared" si="3"/>
        <v>686481</v>
      </c>
      <c r="M25" s="249">
        <f t="shared" si="4"/>
        <v>422334</v>
      </c>
      <c r="N25" s="250">
        <f t="shared" si="5"/>
        <v>1108815</v>
      </c>
      <c r="S25" s="81">
        <f t="shared" si="6"/>
        <v>558823</v>
      </c>
      <c r="T25" s="81">
        <f t="shared" si="7"/>
        <v>351176</v>
      </c>
    </row>
    <row r="26" spans="1:20" ht="18" customHeight="1">
      <c r="A26" s="239">
        <v>22</v>
      </c>
      <c r="B26" s="240" t="s">
        <v>42</v>
      </c>
      <c r="C26" s="248">
        <f>'Anne-8'!R30</f>
        <v>540891</v>
      </c>
      <c r="D26" s="249">
        <f>'Anne-8'!S30</f>
        <v>180467</v>
      </c>
      <c r="E26" s="250">
        <f t="shared" si="0"/>
        <v>721358</v>
      </c>
      <c r="F26" s="248">
        <f>'Anne-7'!Q30+'Anne-7'!T30</f>
        <v>63778</v>
      </c>
      <c r="G26" s="249">
        <f>'Anne-7'!R30+'Anne-7'!U30</f>
        <v>207661</v>
      </c>
      <c r="H26" s="250">
        <f t="shared" si="1"/>
        <v>271439</v>
      </c>
      <c r="I26" s="248">
        <f>'Anne-6'!AC30</f>
        <v>7197250</v>
      </c>
      <c r="J26" s="249">
        <f>'Anne-6'!AD30</f>
        <v>2888103</v>
      </c>
      <c r="K26" s="250">
        <f t="shared" si="2"/>
        <v>10085353</v>
      </c>
      <c r="L26" s="248">
        <f t="shared" si="3"/>
        <v>7801919</v>
      </c>
      <c r="M26" s="249">
        <f t="shared" si="4"/>
        <v>3276231</v>
      </c>
      <c r="N26" s="250">
        <f t="shared" si="5"/>
        <v>11078150</v>
      </c>
      <c r="S26" s="81">
        <f t="shared" si="6"/>
        <v>7197250</v>
      </c>
      <c r="T26" s="81">
        <f t="shared" si="7"/>
        <v>2888103</v>
      </c>
    </row>
    <row r="27" spans="1:20" ht="18" customHeight="1">
      <c r="A27" s="239">
        <v>23</v>
      </c>
      <c r="B27" s="240" t="s">
        <v>43</v>
      </c>
      <c r="C27" s="248">
        <f>'Anne-8'!R31</f>
        <v>323207</v>
      </c>
      <c r="D27" s="249">
        <f>'Anne-8'!S31</f>
        <v>43393</v>
      </c>
      <c r="E27" s="250">
        <f t="shared" si="0"/>
        <v>366600</v>
      </c>
      <c r="F27" s="248">
        <f>'Anne-7'!Q31+'Anne-7'!T31</f>
        <v>13545</v>
      </c>
      <c r="G27" s="249">
        <f>'Anne-7'!R31+'Anne-7'!U31</f>
        <v>33467</v>
      </c>
      <c r="H27" s="250">
        <f t="shared" si="1"/>
        <v>47012</v>
      </c>
      <c r="I27" s="248">
        <f>'Anne-6'!AC31</f>
        <v>2563849</v>
      </c>
      <c r="J27" s="249">
        <f>'Anne-6'!AD31</f>
        <v>816448</v>
      </c>
      <c r="K27" s="250">
        <f t="shared" si="2"/>
        <v>3380297</v>
      </c>
      <c r="L27" s="248">
        <f t="shared" si="3"/>
        <v>2900601</v>
      </c>
      <c r="M27" s="249">
        <f t="shared" si="4"/>
        <v>893308</v>
      </c>
      <c r="N27" s="250">
        <f t="shared" si="5"/>
        <v>3793909</v>
      </c>
      <c r="S27" s="81">
        <f t="shared" si="6"/>
        <v>2563849</v>
      </c>
      <c r="T27" s="81">
        <f t="shared" si="7"/>
        <v>816448</v>
      </c>
    </row>
    <row r="28" spans="1:20" ht="18" customHeight="1">
      <c r="A28" s="239">
        <v>24</v>
      </c>
      <c r="B28" s="240" t="s">
        <v>44</v>
      </c>
      <c r="C28" s="248">
        <f>'Anne-8'!R32</f>
        <v>258325</v>
      </c>
      <c r="D28" s="249">
        <f>'Anne-8'!S32</f>
        <v>234339</v>
      </c>
      <c r="E28" s="250">
        <f t="shared" si="0"/>
        <v>492664</v>
      </c>
      <c r="F28" s="248">
        <f>'Anne-7'!Q32+'Anne-7'!T32</f>
        <v>969</v>
      </c>
      <c r="G28" s="249">
        <f>'Anne-7'!R32+'Anne-7'!U32</f>
        <v>58627</v>
      </c>
      <c r="H28" s="250">
        <f t="shared" si="1"/>
        <v>59596</v>
      </c>
      <c r="I28" s="248">
        <f>'Anne-6'!AC32</f>
        <v>951534</v>
      </c>
      <c r="J28" s="249">
        <f>'Anne-6'!AD32</f>
        <v>823575</v>
      </c>
      <c r="K28" s="250">
        <f t="shared" si="2"/>
        <v>1775109</v>
      </c>
      <c r="L28" s="248">
        <f t="shared" si="3"/>
        <v>1210828</v>
      </c>
      <c r="M28" s="249">
        <f t="shared" si="4"/>
        <v>1116541</v>
      </c>
      <c r="N28" s="250">
        <f t="shared" si="5"/>
        <v>2327369</v>
      </c>
      <c r="S28" s="81">
        <f t="shared" si="6"/>
        <v>951534</v>
      </c>
      <c r="T28" s="81">
        <f t="shared" si="7"/>
        <v>823575</v>
      </c>
    </row>
    <row r="29" spans="1:20" ht="18" customHeight="1">
      <c r="A29" s="239">
        <v>25</v>
      </c>
      <c r="B29" s="240" t="s">
        <v>45</v>
      </c>
      <c r="C29" s="248">
        <f>'Anne-8'!R33</f>
        <v>856287</v>
      </c>
      <c r="D29" s="249">
        <f>'Anne-8'!S33</f>
        <v>0</v>
      </c>
      <c r="E29" s="250">
        <f t="shared" si="0"/>
        <v>856287</v>
      </c>
      <c r="F29" s="248">
        <f>'Anne-7'!Q33+'Anne-7'!T33</f>
        <v>21191</v>
      </c>
      <c r="G29" s="249">
        <f>'Anne-7'!R33+'Anne-7'!U33</f>
        <v>0</v>
      </c>
      <c r="H29" s="250">
        <f t="shared" si="1"/>
        <v>21191</v>
      </c>
      <c r="I29" s="248">
        <f>'Anne-6'!AC33</f>
        <v>844996</v>
      </c>
      <c r="J29" s="249">
        <f>'Anne-6'!AD33</f>
        <v>0</v>
      </c>
      <c r="K29" s="250">
        <f t="shared" si="2"/>
        <v>844996</v>
      </c>
      <c r="L29" s="248">
        <f t="shared" si="3"/>
        <v>1722474</v>
      </c>
      <c r="M29" s="249">
        <f t="shared" si="4"/>
        <v>0</v>
      </c>
      <c r="N29" s="250">
        <f t="shared" si="5"/>
        <v>1722474</v>
      </c>
      <c r="S29" s="81">
        <f t="shared" si="6"/>
        <v>844996</v>
      </c>
      <c r="T29" s="81">
        <f t="shared" si="7"/>
        <v>0</v>
      </c>
    </row>
    <row r="30" spans="1:20" ht="18" customHeight="1">
      <c r="A30" s="239">
        <v>26</v>
      </c>
      <c r="B30" s="240" t="s">
        <v>46</v>
      </c>
      <c r="C30" s="248">
        <f>'Anne-8'!R34</f>
        <v>750743</v>
      </c>
      <c r="D30" s="249">
        <f>'Anne-8'!S34</f>
        <v>20432</v>
      </c>
      <c r="E30" s="250">
        <f t="shared" si="0"/>
        <v>771175</v>
      </c>
      <c r="F30" s="248">
        <f>'Anne-7'!Q34+'Anne-7'!T34</f>
        <v>2172</v>
      </c>
      <c r="G30" s="249">
        <f>'Anne-7'!R34+'Anne-7'!U34</f>
        <v>10880</v>
      </c>
      <c r="H30" s="250">
        <f t="shared" si="1"/>
        <v>13052</v>
      </c>
      <c r="I30" s="248">
        <f>'Anne-6'!AC34</f>
        <v>1256992</v>
      </c>
      <c r="J30" s="249">
        <f>'Anne-6'!AD34</f>
        <v>174246</v>
      </c>
      <c r="K30" s="250">
        <f t="shared" si="2"/>
        <v>1431238</v>
      </c>
      <c r="L30" s="248">
        <f t="shared" si="3"/>
        <v>2009907</v>
      </c>
      <c r="M30" s="249">
        <f t="shared" si="4"/>
        <v>205558</v>
      </c>
      <c r="N30" s="250">
        <f t="shared" si="5"/>
        <v>2215465</v>
      </c>
      <c r="S30" s="81">
        <f t="shared" si="6"/>
        <v>1256992</v>
      </c>
      <c r="T30" s="81">
        <f t="shared" si="7"/>
        <v>174246</v>
      </c>
    </row>
    <row r="31" spans="1:16" ht="13.5" thickBot="1">
      <c r="A31" s="761" t="s">
        <v>47</v>
      </c>
      <c r="B31" s="762"/>
      <c r="C31" s="251">
        <f>SUM(C5:C30)</f>
        <v>12752244</v>
      </c>
      <c r="D31" s="252">
        <f aca="true" t="shared" si="8" ref="D31:K31">SUM(D5:D30)</f>
        <v>6002283</v>
      </c>
      <c r="E31" s="253">
        <f t="shared" si="8"/>
        <v>18754527</v>
      </c>
      <c r="F31" s="251">
        <f t="shared" si="8"/>
        <v>511652</v>
      </c>
      <c r="G31" s="252">
        <f t="shared" si="8"/>
        <v>1776807</v>
      </c>
      <c r="H31" s="253">
        <f t="shared" si="8"/>
        <v>2288459</v>
      </c>
      <c r="I31" s="251">
        <f t="shared" si="8"/>
        <v>61586840</v>
      </c>
      <c r="J31" s="252">
        <f t="shared" si="8"/>
        <v>30841616</v>
      </c>
      <c r="K31" s="253">
        <f t="shared" si="8"/>
        <v>92428456</v>
      </c>
      <c r="L31" s="251">
        <f>SUM(L5:L30)</f>
        <v>74850736</v>
      </c>
      <c r="M31" s="252">
        <f>SUM(M5:M30)</f>
        <v>38620706</v>
      </c>
      <c r="N31" s="253">
        <f>SUM(N5:N30)</f>
        <v>113471442</v>
      </c>
      <c r="P31" s="362"/>
    </row>
    <row r="32" ht="12.75">
      <c r="P32" s="362"/>
    </row>
    <row r="33" spans="13:16" ht="12.75">
      <c r="M33">
        <v>42020266</v>
      </c>
      <c r="N33" s="92">
        <f>M31/N31*100</f>
        <v>34.03561752568545</v>
      </c>
      <c r="P33" s="362"/>
    </row>
    <row r="34" spans="10:16" ht="12.75">
      <c r="J34">
        <f>J31/K31*100</f>
        <v>33.368096076385825</v>
      </c>
      <c r="M34" s="157">
        <v>2.42488</v>
      </c>
      <c r="P34" s="362"/>
    </row>
    <row r="35" spans="3:16" ht="12.75"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P35" s="362"/>
    </row>
    <row r="40" ht="12.75">
      <c r="M40">
        <f>M31/N31*100</f>
        <v>34.03561752568545</v>
      </c>
    </row>
    <row r="43" spans="11:13" ht="12.75">
      <c r="K43">
        <v>9595</v>
      </c>
      <c r="L43">
        <v>640</v>
      </c>
      <c r="M43">
        <v>105</v>
      </c>
    </row>
    <row r="44" spans="11:13" ht="12.75">
      <c r="K44">
        <v>5639</v>
      </c>
      <c r="L44">
        <v>0</v>
      </c>
      <c r="M44">
        <v>234</v>
      </c>
    </row>
    <row r="45" spans="11:13" ht="12.75">
      <c r="K45">
        <v>2098</v>
      </c>
      <c r="L45">
        <v>128</v>
      </c>
      <c r="M45">
        <v>14</v>
      </c>
    </row>
    <row r="46" spans="11:12" ht="12.75">
      <c r="K46">
        <f>SUM(K43:K45)</f>
        <v>17332</v>
      </c>
      <c r="L46">
        <v>1484</v>
      </c>
    </row>
    <row r="47" ht="12.75">
      <c r="L47">
        <v>3204</v>
      </c>
    </row>
    <row r="48" ht="12.75">
      <c r="K48">
        <v>-656</v>
      </c>
    </row>
  </sheetData>
  <sheetProtection/>
  <mergeCells count="7">
    <mergeCell ref="A31:B31"/>
    <mergeCell ref="I3:K3"/>
    <mergeCell ref="L3:N3"/>
    <mergeCell ref="A3:A4"/>
    <mergeCell ref="B3:B4"/>
    <mergeCell ref="C3:E3"/>
    <mergeCell ref="F3:H3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landscape" paperSize="9" scale="75" r:id="rId1"/>
  <colBreaks count="1" manualBreakCount="1">
    <brk id="14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3" sqref="I23"/>
    </sheetView>
  </sheetViews>
  <sheetFormatPr defaultColWidth="9.140625" defaultRowHeight="12.75"/>
  <cols>
    <col min="2" max="2" width="22.421875" style="0" customWidth="1"/>
    <col min="3" max="3" width="19.7109375" style="0" customWidth="1"/>
    <col min="4" max="4" width="19.57421875" style="0" customWidth="1"/>
    <col min="5" max="5" width="28.0039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9"/>
  <sheetViews>
    <sheetView zoomScalePageLayoutView="0" workbookViewId="0" topLeftCell="A1">
      <pane xSplit="2" ySplit="7" topLeftCell="G2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D37" sqref="AD37"/>
    </sheetView>
  </sheetViews>
  <sheetFormatPr defaultColWidth="9.140625" defaultRowHeight="12.75"/>
  <cols>
    <col min="1" max="1" width="5.140625" style="0" customWidth="1"/>
    <col min="2" max="2" width="19.7109375" style="0" customWidth="1"/>
    <col min="3" max="3" width="12.00390625" style="0" customWidth="1"/>
    <col min="4" max="4" width="12.140625" style="0" customWidth="1"/>
    <col min="5" max="5" width="13.421875" style="0" customWidth="1"/>
    <col min="6" max="6" width="10.7109375" style="0" hidden="1" customWidth="1"/>
    <col min="7" max="7" width="13.140625" style="0" customWidth="1"/>
    <col min="8" max="9" width="15.140625" style="0" hidden="1" customWidth="1"/>
    <col min="10" max="11" width="13.140625" style="0" hidden="1" customWidth="1"/>
    <col min="12" max="12" width="13.57421875" style="0" hidden="1" customWidth="1"/>
    <col min="13" max="13" width="12.8515625" style="0" hidden="1" customWidth="1"/>
    <col min="14" max="14" width="10.7109375" style="0" hidden="1" customWidth="1"/>
    <col min="15" max="15" width="10.140625" style="0" hidden="1" customWidth="1"/>
    <col min="16" max="16" width="12.28125" style="0" hidden="1" customWidth="1"/>
    <col min="17" max="17" width="11.8515625" style="0" hidden="1" customWidth="1"/>
    <col min="18" max="18" width="10.140625" style="0" hidden="1" customWidth="1"/>
    <col min="19" max="19" width="13.140625" style="0" customWidth="1"/>
    <col min="20" max="20" width="13.00390625" style="0" customWidth="1"/>
    <col min="21" max="21" width="7.00390625" style="0" customWidth="1"/>
    <col min="22" max="22" width="6.57421875" style="0" customWidth="1"/>
    <col min="23" max="23" width="8.421875" style="0" bestFit="1" customWidth="1"/>
    <col min="24" max="24" width="7.28125" style="0" customWidth="1"/>
    <col min="25" max="25" width="9.00390625" style="2" customWidth="1"/>
    <col min="26" max="26" width="10.00390625" style="2" customWidth="1"/>
    <col min="27" max="27" width="10.8515625" style="41" customWidth="1"/>
    <col min="28" max="28" width="10.140625" style="41" customWidth="1"/>
    <col min="29" max="30" width="11.00390625" style="0" customWidth="1"/>
    <col min="31" max="31" width="18.00390625" style="41" hidden="1" customWidth="1"/>
    <col min="32" max="32" width="17.140625" style="41" hidden="1" customWidth="1"/>
    <col min="33" max="33" width="1.1484375" style="41" hidden="1" customWidth="1"/>
    <col min="34" max="34" width="13.57421875" style="0" bestFit="1" customWidth="1"/>
    <col min="35" max="35" width="10.00390625" style="0" bestFit="1" customWidth="1"/>
  </cols>
  <sheetData>
    <row r="1" ht="15">
      <c r="AC1" s="14" t="s">
        <v>111</v>
      </c>
    </row>
    <row r="2" spans="2:8" ht="14.25">
      <c r="B2" s="2" t="s">
        <v>249</v>
      </c>
      <c r="C2" s="2"/>
      <c r="D2" s="2"/>
      <c r="E2" s="2"/>
      <c r="G2" s="2"/>
      <c r="H2" s="2"/>
    </row>
    <row r="4" spans="2:33" ht="15">
      <c r="B4" s="26" t="s">
        <v>268</v>
      </c>
      <c r="T4" s="72"/>
      <c r="U4" s="72"/>
      <c r="AA4" s="39"/>
      <c r="AB4" s="39"/>
      <c r="AE4" s="39"/>
      <c r="AF4" s="39"/>
      <c r="AG4" s="39"/>
    </row>
    <row r="5" spans="3:33" ht="15">
      <c r="C5">
        <v>1</v>
      </c>
      <c r="D5">
        <v>2</v>
      </c>
      <c r="H5">
        <v>3</v>
      </c>
      <c r="I5">
        <v>4</v>
      </c>
      <c r="J5">
        <v>5</v>
      </c>
      <c r="K5">
        <v>6</v>
      </c>
      <c r="L5">
        <v>7</v>
      </c>
      <c r="M5">
        <v>8</v>
      </c>
      <c r="N5">
        <v>9</v>
      </c>
      <c r="O5">
        <v>10</v>
      </c>
      <c r="P5">
        <v>11</v>
      </c>
      <c r="Q5">
        <v>12</v>
      </c>
      <c r="R5">
        <v>13</v>
      </c>
      <c r="AA5" s="39" t="s">
        <v>103</v>
      </c>
      <c r="AB5" s="39"/>
      <c r="AE5" s="39"/>
      <c r="AF5" s="39"/>
      <c r="AG5" s="39"/>
    </row>
    <row r="6" spans="1:33" ht="35.25" customHeight="1">
      <c r="A6" s="599" t="s">
        <v>62</v>
      </c>
      <c r="B6" s="599" t="s">
        <v>63</v>
      </c>
      <c r="C6" s="602" t="s">
        <v>157</v>
      </c>
      <c r="D6" s="603"/>
      <c r="E6" s="604"/>
      <c r="F6" s="166"/>
      <c r="G6" s="600" t="s">
        <v>104</v>
      </c>
      <c r="H6" s="166"/>
      <c r="I6" s="166"/>
      <c r="J6" s="166"/>
      <c r="K6" s="166"/>
      <c r="L6" s="167"/>
      <c r="M6" s="166"/>
      <c r="N6" s="166"/>
      <c r="O6" s="166"/>
      <c r="P6" s="166"/>
      <c r="Q6" s="178"/>
      <c r="R6" s="178"/>
      <c r="S6" s="600" t="s">
        <v>69</v>
      </c>
      <c r="T6" s="599" t="s">
        <v>70</v>
      </c>
      <c r="U6" s="599" t="s">
        <v>128</v>
      </c>
      <c r="V6" s="599"/>
      <c r="W6" s="599"/>
      <c r="X6" s="599" t="s">
        <v>128</v>
      </c>
      <c r="Y6" s="599"/>
      <c r="Z6" s="608" t="s">
        <v>129</v>
      </c>
      <c r="AA6" s="610" t="s">
        <v>102</v>
      </c>
      <c r="AB6" s="596" t="s">
        <v>269</v>
      </c>
      <c r="AC6" s="597"/>
      <c r="AD6" s="598"/>
      <c r="AE6" s="605" t="s">
        <v>86</v>
      </c>
      <c r="AF6" s="606"/>
      <c r="AG6" s="607"/>
    </row>
    <row r="7" spans="1:33" ht="30" customHeight="1">
      <c r="A7" s="599"/>
      <c r="B7" s="599"/>
      <c r="C7" s="49" t="s">
        <v>87</v>
      </c>
      <c r="D7" s="49" t="s">
        <v>88</v>
      </c>
      <c r="E7" s="49" t="s">
        <v>89</v>
      </c>
      <c r="F7" s="49" t="s">
        <v>2</v>
      </c>
      <c r="G7" s="601"/>
      <c r="H7" s="49" t="s">
        <v>3</v>
      </c>
      <c r="I7" s="49" t="s">
        <v>65</v>
      </c>
      <c r="J7" s="49" t="s">
        <v>147</v>
      </c>
      <c r="K7" s="49" t="s">
        <v>66</v>
      </c>
      <c r="L7" s="49" t="s">
        <v>67</v>
      </c>
      <c r="M7" s="49" t="s">
        <v>68</v>
      </c>
      <c r="N7" s="49" t="s">
        <v>5</v>
      </c>
      <c r="O7" s="49" t="s">
        <v>76</v>
      </c>
      <c r="P7" s="49" t="s">
        <v>72</v>
      </c>
      <c r="Q7" s="165" t="s">
        <v>136</v>
      </c>
      <c r="R7" s="165" t="s">
        <v>148</v>
      </c>
      <c r="S7" s="601"/>
      <c r="T7" s="599"/>
      <c r="U7" s="164" t="s">
        <v>90</v>
      </c>
      <c r="V7" s="164" t="s">
        <v>91</v>
      </c>
      <c r="W7" s="164" t="s">
        <v>92</v>
      </c>
      <c r="X7" s="49" t="s">
        <v>105</v>
      </c>
      <c r="Y7" s="47" t="s">
        <v>93</v>
      </c>
      <c r="Z7" s="609"/>
      <c r="AA7" s="611"/>
      <c r="AB7" s="51" t="s">
        <v>47</v>
      </c>
      <c r="AC7" s="51" t="s">
        <v>87</v>
      </c>
      <c r="AD7" s="51" t="s">
        <v>88</v>
      </c>
      <c r="AE7" s="40" t="s">
        <v>87</v>
      </c>
      <c r="AF7" s="40" t="s">
        <v>88</v>
      </c>
      <c r="AG7" s="40" t="s">
        <v>47</v>
      </c>
    </row>
    <row r="8" spans="1:33" ht="18.75" customHeight="1">
      <c r="A8" s="5">
        <v>1</v>
      </c>
      <c r="B8" s="6" t="s">
        <v>21</v>
      </c>
      <c r="C8" s="60">
        <f>'Anne-8'!R9+'Anne-7'!Q9+'Anne-7'!T9+'Anne-6'!AC9</f>
        <v>141194</v>
      </c>
      <c r="D8" s="60">
        <f>'Anne-8'!S9+'Anne-7'!R9+'Anne-7'!U9+'Anne-6'!AD9</f>
        <v>101298</v>
      </c>
      <c r="E8" s="58">
        <f>C8+D8</f>
        <v>242492</v>
      </c>
      <c r="F8" s="58"/>
      <c r="G8" s="428" t="s">
        <v>205</v>
      </c>
      <c r="H8" s="428" t="s">
        <v>205</v>
      </c>
      <c r="I8" s="428" t="s">
        <v>205</v>
      </c>
      <c r="J8" s="428" t="s">
        <v>205</v>
      </c>
      <c r="K8" s="428" t="s">
        <v>205</v>
      </c>
      <c r="L8" s="428" t="s">
        <v>205</v>
      </c>
      <c r="M8" s="428" t="s">
        <v>205</v>
      </c>
      <c r="N8" s="428" t="s">
        <v>205</v>
      </c>
      <c r="O8" s="428" t="s">
        <v>205</v>
      </c>
      <c r="P8" s="428" t="s">
        <v>205</v>
      </c>
      <c r="Q8" s="428" t="s">
        <v>205</v>
      </c>
      <c r="R8" s="428" t="s">
        <v>205</v>
      </c>
      <c r="S8" s="428" t="s">
        <v>205</v>
      </c>
      <c r="T8" s="428" t="s">
        <v>205</v>
      </c>
      <c r="U8" s="152">
        <f aca="true" t="shared" si="0" ref="U8:U31">C8/(AC8*1000)*100</f>
        <v>76.54316934106164</v>
      </c>
      <c r="V8" s="152">
        <f aca="true" t="shared" si="1" ref="V8:V31">D8/(AD8*1000)*100</f>
        <v>33.50077965293277</v>
      </c>
      <c r="W8" s="152">
        <f aca="true" t="shared" si="2" ref="W8:W34">E8/(AB8*1000)*100</f>
        <v>49.80955903530322</v>
      </c>
      <c r="X8" s="152"/>
      <c r="Y8" s="152"/>
      <c r="Z8" s="153"/>
      <c r="AA8" s="58"/>
      <c r="AB8" s="58">
        <f aca="true" t="shared" si="3" ref="AB8:AB33">AC8+AD8</f>
        <v>486.83827903019665</v>
      </c>
      <c r="AC8" s="538">
        <v>184.46322671963932</v>
      </c>
      <c r="AD8" s="538">
        <v>302.3750523105573</v>
      </c>
      <c r="AE8" s="58">
        <v>116406.79106989368</v>
      </c>
      <c r="AF8" s="58">
        <v>239858.20645933464</v>
      </c>
      <c r="AG8" s="58">
        <f aca="true" t="shared" si="4" ref="AG8:AG33">SUM(AE8:AF8)</f>
        <v>356264.99752922833</v>
      </c>
    </row>
    <row r="9" spans="1:33" ht="14.25">
      <c r="A9" s="5">
        <v>2</v>
      </c>
      <c r="B9" s="6" t="s">
        <v>22</v>
      </c>
      <c r="C9" s="60">
        <f>'Anne-8'!R10+'Anne-7'!Q10+'Anne-7'!T10+'Anne-6'!AC10</f>
        <v>5575648</v>
      </c>
      <c r="D9" s="60">
        <f>'Anne-8'!S10+'Anne-7'!R10+'Anne-7'!U10+'Anne-6'!AD10</f>
        <v>5884541</v>
      </c>
      <c r="E9" s="58">
        <f aca="true" t="shared" si="5" ref="E9:E33">C9+D9</f>
        <v>11460189</v>
      </c>
      <c r="F9" s="58"/>
      <c r="G9" s="58">
        <f>E9</f>
        <v>11460189</v>
      </c>
      <c r="H9" s="58">
        <f>'Anne-6'!G10+'Anne-8'!H10</f>
        <v>19826623</v>
      </c>
      <c r="I9" s="58">
        <f>'Anne-6'!S10+'Anne-7'!I10+'Anne-8'!I10</f>
        <v>5995250</v>
      </c>
      <c r="J9" s="58">
        <f>'Anne-6'!I10+'Anne-8'!M10</f>
        <v>6156458</v>
      </c>
      <c r="K9" s="58">
        <f>'Anne-7'!J10+'Anne-8'!J10</f>
        <v>6647452</v>
      </c>
      <c r="L9" s="58">
        <f>'Anne-6'!N10</f>
        <v>12038573</v>
      </c>
      <c r="M9" s="58">
        <f>'Anne-6'!K10</f>
        <v>1940154</v>
      </c>
      <c r="N9" s="217">
        <f>'Anne-6'!X10</f>
        <v>0</v>
      </c>
      <c r="O9" s="58"/>
      <c r="P9" s="58">
        <f>'Anne-7'!L10+'Anne-8'!L10</f>
        <v>0</v>
      </c>
      <c r="Q9" s="58">
        <f>'Anne-4'!O9</f>
        <v>4378406</v>
      </c>
      <c r="R9" s="58">
        <f>'Anne-6'!W10</f>
        <v>0</v>
      </c>
      <c r="S9" s="58">
        <f aca="true" t="shared" si="6" ref="S9:S37">H9+I9+K9+J9+L9+M9+N9+O9+P9+Q9+R9</f>
        <v>56982916</v>
      </c>
      <c r="T9" s="58">
        <f aca="true" t="shared" si="7" ref="T9:T33">G9+S9</f>
        <v>68443105</v>
      </c>
      <c r="U9" s="152">
        <f t="shared" si="0"/>
        <v>23.258031952613358</v>
      </c>
      <c r="V9" s="152">
        <f t="shared" si="1"/>
        <v>9.3526031588358</v>
      </c>
      <c r="W9" s="152">
        <f t="shared" si="2"/>
        <v>13.189041537315108</v>
      </c>
      <c r="X9" s="152">
        <f>G9/(AA9*1000)*100</f>
        <v>13.189041537315108</v>
      </c>
      <c r="Y9" s="152">
        <f>T9/(AA9*1000)*100</f>
        <v>78.76824324518726</v>
      </c>
      <c r="Z9" s="153">
        <f>G9/T9*100</f>
        <v>16.744110308847034</v>
      </c>
      <c r="AA9" s="58">
        <f>AB9</f>
        <v>86891.75</v>
      </c>
      <c r="AB9" s="58">
        <f t="shared" si="3"/>
        <v>86891.75</v>
      </c>
      <c r="AC9" s="538">
        <v>23973</v>
      </c>
      <c r="AD9" s="538">
        <v>62918.75</v>
      </c>
      <c r="AE9" s="58">
        <v>20503596.770689454</v>
      </c>
      <c r="AF9" s="58">
        <v>55223944.34664992</v>
      </c>
      <c r="AG9" s="58">
        <f t="shared" si="4"/>
        <v>75727541.11733937</v>
      </c>
    </row>
    <row r="10" spans="1:33" ht="14.25">
      <c r="A10" s="5">
        <v>3</v>
      </c>
      <c r="B10" s="6" t="s">
        <v>23</v>
      </c>
      <c r="C10" s="60">
        <f>'Anne-8'!R11+'Anne-7'!Q11+'Anne-7'!T11+'Anne-6'!AC11</f>
        <v>990614</v>
      </c>
      <c r="D10" s="60">
        <f>'Anne-8'!S11+'Anne-7'!R11+'Anne-7'!U11+'Anne-6'!AD11</f>
        <v>448658</v>
      </c>
      <c r="E10" s="58">
        <f t="shared" si="5"/>
        <v>1439272</v>
      </c>
      <c r="F10" s="58"/>
      <c r="G10" s="58">
        <f>E10</f>
        <v>1439272</v>
      </c>
      <c r="H10" s="58">
        <f>'Anne-6'!G11+'Anne-8'!H11</f>
        <v>4394850</v>
      </c>
      <c r="I10" s="58">
        <f>'Anne-6'!S11+'Anne-7'!I11+'Anne-8'!I11</f>
        <v>2579770</v>
      </c>
      <c r="J10" s="58">
        <f>'Anne-6'!I11+'Anne-8'!M11</f>
        <v>2729522</v>
      </c>
      <c r="K10" s="58">
        <f>'Anne-7'!J11+'Anne-8'!J11</f>
        <v>0</v>
      </c>
      <c r="L10" s="58">
        <f>'Anne-6'!N11</f>
        <v>547494</v>
      </c>
      <c r="M10" s="58">
        <f>'Anne-6'!K11</f>
        <v>3706030</v>
      </c>
      <c r="N10" s="217">
        <f>'Anne-6'!X11</f>
        <v>0</v>
      </c>
      <c r="O10" s="58"/>
      <c r="P10" s="58">
        <f>'Anne-7'!L11+'Anne-8'!L11</f>
        <v>0</v>
      </c>
      <c r="Q10" s="58">
        <f>'Anne-4'!O10</f>
        <v>0</v>
      </c>
      <c r="R10" s="58">
        <f>'Anne-6'!W11</f>
        <v>0</v>
      </c>
      <c r="S10" s="58">
        <f t="shared" si="6"/>
        <v>13957666</v>
      </c>
      <c r="T10" s="58">
        <f t="shared" si="7"/>
        <v>15396938</v>
      </c>
      <c r="U10" s="152">
        <f t="shared" si="0"/>
        <v>20.543633347158856</v>
      </c>
      <c r="V10" s="152">
        <f t="shared" si="1"/>
        <v>1.6716124665453702</v>
      </c>
      <c r="W10" s="152">
        <f t="shared" si="2"/>
        <v>4.545763300714318</v>
      </c>
      <c r="X10" s="152">
        <f>G10/(AA10*1000)*100</f>
        <v>4.545763300714318</v>
      </c>
      <c r="Y10" s="152">
        <f aca="true" t="shared" si="8" ref="Y10:Y37">T10/(AA10*1000)*100</f>
        <v>48.62933184538691</v>
      </c>
      <c r="Z10" s="153">
        <f>G10/T10*100</f>
        <v>9.347780708086244</v>
      </c>
      <c r="AA10" s="58">
        <f>AB10</f>
        <v>31661.833333333347</v>
      </c>
      <c r="AB10" s="58">
        <f t="shared" si="3"/>
        <v>31661.833333333347</v>
      </c>
      <c r="AC10" s="538">
        <v>4822</v>
      </c>
      <c r="AD10" s="538">
        <v>26839.833333333347</v>
      </c>
      <c r="AE10" s="58">
        <v>3389412.621950967</v>
      </c>
      <c r="AF10" s="58">
        <v>23248993.858922884</v>
      </c>
      <c r="AG10" s="58">
        <f t="shared" si="4"/>
        <v>26638406.48087385</v>
      </c>
    </row>
    <row r="11" spans="1:33" ht="14.25">
      <c r="A11" s="5">
        <v>4</v>
      </c>
      <c r="B11" s="6" t="s">
        <v>24</v>
      </c>
      <c r="C11" s="60">
        <f>'Anne-8'!R12+'Anne-7'!Q12+'Anne-7'!T12+'Anne-6'!AC12</f>
        <v>1419809</v>
      </c>
      <c r="D11" s="60">
        <f>'Anne-8'!S12+'Anne-7'!R12+'Anne-7'!U12+'Anne-6'!AD12</f>
        <v>988507</v>
      </c>
      <c r="E11" s="58">
        <f t="shared" si="5"/>
        <v>2408316</v>
      </c>
      <c r="F11" s="58"/>
      <c r="G11" s="58">
        <f>E11+E17</f>
        <v>3539680</v>
      </c>
      <c r="H11" s="58">
        <f>'Anne-6'!G12+'Anne-8'!H12</f>
        <v>21485973</v>
      </c>
      <c r="I11" s="58">
        <f>'Anne-6'!S12+'Anne-7'!I12+'Anne-8'!I12</f>
        <v>9171391</v>
      </c>
      <c r="J11" s="58">
        <f>'Anne-6'!I12+'Anne-8'!M12</f>
        <v>7113547</v>
      </c>
      <c r="K11" s="58">
        <f>'Anne-7'!J12+'Anne-8'!J12</f>
        <v>2887798</v>
      </c>
      <c r="L11" s="58">
        <f>'Anne-6'!N12</f>
        <v>6277988</v>
      </c>
      <c r="M11" s="58">
        <f>'Anne-6'!K12</f>
        <v>5177910</v>
      </c>
      <c r="N11" s="217">
        <f>'Anne-6'!X12</f>
        <v>0</v>
      </c>
      <c r="O11" s="58"/>
      <c r="P11" s="58">
        <f>'Anne-7'!L12+'Anne-8'!L12</f>
        <v>0</v>
      </c>
      <c r="Q11" s="58">
        <f>'Anne-4'!O11</f>
        <v>4792525</v>
      </c>
      <c r="R11" s="58">
        <f>'Anne-6'!W12</f>
        <v>0</v>
      </c>
      <c r="S11" s="58">
        <f t="shared" si="6"/>
        <v>56907132</v>
      </c>
      <c r="T11" s="58">
        <f t="shared" si="7"/>
        <v>60446812</v>
      </c>
      <c r="U11" s="152">
        <f t="shared" si="0"/>
        <v>13.256364840903217</v>
      </c>
      <c r="V11" s="152">
        <f t="shared" si="1"/>
        <v>1.0893807819593904</v>
      </c>
      <c r="W11" s="152">
        <f t="shared" si="2"/>
        <v>2.373879110267175</v>
      </c>
      <c r="X11" s="152">
        <f>G11/(AA11*1000)*100</f>
        <v>2.6385412169570173</v>
      </c>
      <c r="Y11" s="152">
        <f t="shared" si="8"/>
        <v>45.05814223196787</v>
      </c>
      <c r="Z11" s="153">
        <f>G11/T11*100</f>
        <v>5.855858866469252</v>
      </c>
      <c r="AA11" s="58">
        <f>AB11+AB17</f>
        <v>134152.91666666666</v>
      </c>
      <c r="AB11" s="58">
        <f t="shared" si="3"/>
        <v>101450.65894821193</v>
      </c>
      <c r="AC11" s="538">
        <v>10710.394720120436</v>
      </c>
      <c r="AD11" s="538">
        <v>90740.26422809149</v>
      </c>
      <c r="AE11" s="58">
        <v>8679199.657414034</v>
      </c>
      <c r="AF11" s="58">
        <v>74199595.5407804</v>
      </c>
      <c r="AG11" s="58">
        <f t="shared" si="4"/>
        <v>82878795.19819443</v>
      </c>
    </row>
    <row r="12" spans="1:33" ht="14.25">
      <c r="A12" s="5">
        <v>5</v>
      </c>
      <c r="B12" s="6" t="s">
        <v>25</v>
      </c>
      <c r="C12" s="60">
        <f>'Anne-8'!R13+'Anne-7'!Q13+'Anne-7'!T13+'Anne-6'!AC13</f>
        <v>1274500</v>
      </c>
      <c r="D12" s="60">
        <f>'Anne-8'!S13+'Anne-7'!R13+'Anne-7'!U13+'Anne-6'!AD13</f>
        <v>719780</v>
      </c>
      <c r="E12" s="58">
        <f t="shared" si="5"/>
        <v>1994280</v>
      </c>
      <c r="F12" s="58"/>
      <c r="G12" s="428" t="s">
        <v>205</v>
      </c>
      <c r="H12" s="428" t="s">
        <v>205</v>
      </c>
      <c r="I12" s="428" t="s">
        <v>205</v>
      </c>
      <c r="J12" s="428" t="s">
        <v>205</v>
      </c>
      <c r="K12" s="428" t="s">
        <v>205</v>
      </c>
      <c r="L12" s="428" t="s">
        <v>205</v>
      </c>
      <c r="M12" s="428" t="s">
        <v>205</v>
      </c>
      <c r="N12" s="428" t="s">
        <v>205</v>
      </c>
      <c r="O12" s="428" t="s">
        <v>205</v>
      </c>
      <c r="P12" s="428" t="s">
        <v>205</v>
      </c>
      <c r="Q12" s="428" t="s">
        <v>205</v>
      </c>
      <c r="R12" s="428" t="s">
        <v>205</v>
      </c>
      <c r="S12" s="428" t="s">
        <v>205</v>
      </c>
      <c r="T12" s="428" t="s">
        <v>205</v>
      </c>
      <c r="U12" s="152">
        <f t="shared" si="0"/>
        <v>21.608948717635528</v>
      </c>
      <c r="V12" s="152">
        <f t="shared" si="1"/>
        <v>3.6941337362650604</v>
      </c>
      <c r="W12" s="152">
        <f t="shared" si="2"/>
        <v>7.85693249045395</v>
      </c>
      <c r="X12" s="152"/>
      <c r="Y12" s="152"/>
      <c r="Z12" s="153"/>
      <c r="AA12" s="58"/>
      <c r="AB12" s="58">
        <f t="shared" si="3"/>
        <v>25382.425042127055</v>
      </c>
      <c r="AC12" s="538">
        <v>5898.019457836249</v>
      </c>
      <c r="AD12" s="538">
        <v>19484.405584290806</v>
      </c>
      <c r="AE12" s="58">
        <v>4175328.943641984</v>
      </c>
      <c r="AF12" s="58">
        <v>16620627.447467273</v>
      </c>
      <c r="AG12" s="58">
        <f t="shared" si="4"/>
        <v>20795956.391109258</v>
      </c>
    </row>
    <row r="13" spans="1:33" ht="14.25">
      <c r="A13" s="5">
        <v>6</v>
      </c>
      <c r="B13" s="6" t="s">
        <v>26</v>
      </c>
      <c r="C13" s="60">
        <f>'Anne-8'!R14+'Anne-7'!Q14+'Anne-7'!T14+'Anne-6'!AC14</f>
        <v>3986406</v>
      </c>
      <c r="D13" s="60">
        <f>'Anne-8'!S14+'Anne-7'!R14+'Anne-7'!U14+'Anne-6'!AD14</f>
        <v>1902873</v>
      </c>
      <c r="E13" s="58">
        <f t="shared" si="5"/>
        <v>5889279</v>
      </c>
      <c r="F13" s="58"/>
      <c r="G13" s="58">
        <f>E13</f>
        <v>5889279</v>
      </c>
      <c r="H13" s="58">
        <f>'Anne-6'!G14+'Anne-8'!H14</f>
        <v>7294272</v>
      </c>
      <c r="I13" s="58">
        <f>'Anne-6'!S14+'Anne-7'!I14+'Anne-8'!I14</f>
        <v>6824877</v>
      </c>
      <c r="J13" s="58">
        <f>'Anne-6'!I14+'Anne-8'!M14</f>
        <v>17047515</v>
      </c>
      <c r="K13" s="58">
        <f>'Anne-7'!J14+'Anne-8'!J14</f>
        <v>2919264</v>
      </c>
      <c r="L13" s="58">
        <f>'Anne-6'!N14</f>
        <v>8938782</v>
      </c>
      <c r="M13" s="58">
        <f>'Anne-6'!K14</f>
        <v>30773</v>
      </c>
      <c r="N13" s="217">
        <f>'Anne-6'!X14</f>
        <v>0</v>
      </c>
      <c r="O13" s="58"/>
      <c r="P13" s="58">
        <f>'Anne-7'!L14+'Anne-8'!L14</f>
        <v>177527</v>
      </c>
      <c r="Q13" s="58">
        <f>'Anne-4'!O13</f>
        <v>5122178</v>
      </c>
      <c r="R13" s="58">
        <f>'Anne-6'!W14</f>
        <v>1375776</v>
      </c>
      <c r="S13" s="58">
        <f t="shared" si="6"/>
        <v>49730964</v>
      </c>
      <c r="T13" s="58">
        <f t="shared" si="7"/>
        <v>55620243</v>
      </c>
      <c r="U13" s="152">
        <f t="shared" si="0"/>
        <v>15.603644132757083</v>
      </c>
      <c r="V13" s="152">
        <f t="shared" si="1"/>
        <v>5.2244436817901025</v>
      </c>
      <c r="W13" s="152">
        <f t="shared" si="2"/>
        <v>9.503371635659489</v>
      </c>
      <c r="X13" s="152">
        <f>G13/(AA13*1000)*100</f>
        <v>9.503371635659489</v>
      </c>
      <c r="Y13" s="152">
        <f t="shared" si="8"/>
        <v>89.75289499694075</v>
      </c>
      <c r="Z13" s="153">
        <f>G13/T13*100</f>
        <v>10.588373373341788</v>
      </c>
      <c r="AA13" s="58">
        <f>AB13</f>
        <v>61970.41666666666</v>
      </c>
      <c r="AB13" s="58">
        <f t="shared" si="3"/>
        <v>61970.41666666666</v>
      </c>
      <c r="AC13" s="538">
        <v>25547.916666666653</v>
      </c>
      <c r="AD13" s="538">
        <v>36422.5</v>
      </c>
      <c r="AE13" s="58">
        <v>19007152.295442946</v>
      </c>
      <c r="AF13" s="58">
        <v>31968350.23018353</v>
      </c>
      <c r="AG13" s="58">
        <f t="shared" si="4"/>
        <v>50975502.52562648</v>
      </c>
    </row>
    <row r="14" spans="1:33" ht="14.25">
      <c r="A14" s="5">
        <v>7</v>
      </c>
      <c r="B14" s="6" t="s">
        <v>27</v>
      </c>
      <c r="C14" s="60">
        <f>'Anne-8'!R15+'Anne-7'!Q15+'Anne-7'!T15+'Anne-6'!AC15</f>
        <v>1990273</v>
      </c>
      <c r="D14" s="60">
        <f>'Anne-8'!S15+'Anne-7'!R15+'Anne-7'!U15+'Anne-6'!AD15</f>
        <v>1725610</v>
      </c>
      <c r="E14" s="58">
        <f t="shared" si="5"/>
        <v>3715883</v>
      </c>
      <c r="F14" s="58"/>
      <c r="G14" s="58">
        <f>E14</f>
        <v>3715883</v>
      </c>
      <c r="H14" s="58">
        <f>'Anne-6'!G15+'Anne-8'!H15</f>
        <v>2385308</v>
      </c>
      <c r="I14" s="58">
        <f>'Anne-6'!S15+'Anne-7'!I15+'Anne-8'!I15</f>
        <v>2196844</v>
      </c>
      <c r="J14" s="58">
        <f>'Anne-6'!I15+'Anne-8'!M15</f>
        <v>4808081</v>
      </c>
      <c r="K14" s="58">
        <f>'Anne-7'!J15+'Anne-8'!J15</f>
        <v>2691178</v>
      </c>
      <c r="L14" s="58">
        <f>'Anne-6'!N15</f>
        <v>4061249</v>
      </c>
      <c r="M14" s="58">
        <f>'Anne-6'!K15</f>
        <v>11092</v>
      </c>
      <c r="N14" s="217">
        <f>'Anne-6'!X15</f>
        <v>0</v>
      </c>
      <c r="O14" s="58"/>
      <c r="P14" s="58">
        <f>'Anne-7'!L15+'Anne-8'!L15</f>
        <v>0</v>
      </c>
      <c r="Q14" s="58">
        <f>'Anne-4'!O14</f>
        <v>0</v>
      </c>
      <c r="R14" s="58">
        <f>'Anne-6'!W15</f>
        <v>1385674</v>
      </c>
      <c r="S14" s="58">
        <f t="shared" si="6"/>
        <v>17539426</v>
      </c>
      <c r="T14" s="58">
        <f t="shared" si="7"/>
        <v>21255309</v>
      </c>
      <c r="U14" s="152">
        <f t="shared" si="0"/>
        <v>21.29735157211391</v>
      </c>
      <c r="V14" s="152">
        <f t="shared" si="1"/>
        <v>9.977075293063324</v>
      </c>
      <c r="W14" s="152">
        <f t="shared" si="2"/>
        <v>13.948029816291355</v>
      </c>
      <c r="X14" s="152">
        <f>G14/(AA14*1000)*100</f>
        <v>13.948029816291355</v>
      </c>
      <c r="Y14" s="152">
        <f t="shared" si="8"/>
        <v>79.78445061012039</v>
      </c>
      <c r="Z14" s="153">
        <f>G14/T14*100</f>
        <v>17.482140579560618</v>
      </c>
      <c r="AA14" s="58">
        <f>AB14</f>
        <v>26640.91666666667</v>
      </c>
      <c r="AB14" s="58">
        <f t="shared" si="3"/>
        <v>26640.91666666667</v>
      </c>
      <c r="AC14" s="538">
        <v>9345.166666666673</v>
      </c>
      <c r="AD14" s="538">
        <v>17295.75</v>
      </c>
      <c r="AE14" s="58">
        <v>6114139.1012478005</v>
      </c>
      <c r="AF14" s="58">
        <v>14968849.58738658</v>
      </c>
      <c r="AG14" s="58">
        <f t="shared" si="4"/>
        <v>21082988.68863438</v>
      </c>
    </row>
    <row r="15" spans="1:33" s="437" customFormat="1" ht="14.25">
      <c r="A15" s="432">
        <v>8</v>
      </c>
      <c r="B15" s="433" t="s">
        <v>28</v>
      </c>
      <c r="C15" s="86">
        <f>'Anne-8'!R16+'Anne-7'!Q16+'Anne-7'!T16+'Anne-6'!AC16</f>
        <v>642634</v>
      </c>
      <c r="D15" s="86">
        <f>'Anne-8'!S16+'Anne-7'!R16+'Anne-7'!U16+'Anne-6'!AD16</f>
        <v>1135662</v>
      </c>
      <c r="E15" s="86">
        <f t="shared" si="5"/>
        <v>1778296</v>
      </c>
      <c r="F15" s="86"/>
      <c r="G15" s="86">
        <f>E15</f>
        <v>1778296</v>
      </c>
      <c r="H15" s="86">
        <f>'Anne-6'!G16+'Anne-8'!H16</f>
        <v>2155419</v>
      </c>
      <c r="I15" s="86">
        <f>'Anne-6'!S16+'Anne-7'!I16+'Anne-8'!I16</f>
        <v>1521302</v>
      </c>
      <c r="J15" s="58">
        <f>'Anne-6'!I16+'Anne-8'!M16</f>
        <v>527782</v>
      </c>
      <c r="K15" s="86">
        <f>'Anne-7'!J16+'Anne-8'!J16</f>
        <v>133748</v>
      </c>
      <c r="L15" s="86">
        <f>'Anne-6'!N16</f>
        <v>512266</v>
      </c>
      <c r="M15" s="86">
        <f>'Anne-6'!K16</f>
        <v>784007</v>
      </c>
      <c r="N15" s="434">
        <f>'Anne-6'!X16</f>
        <v>0</v>
      </c>
      <c r="O15" s="86"/>
      <c r="P15" s="86">
        <f>'Anne-7'!L16+'Anne-8'!L16</f>
        <v>0</v>
      </c>
      <c r="Q15" s="86">
        <f>'Anne-4'!O15</f>
        <v>0</v>
      </c>
      <c r="R15" s="86">
        <f>'Anne-6'!W16</f>
        <v>0</v>
      </c>
      <c r="S15" s="86">
        <f t="shared" si="6"/>
        <v>5634524</v>
      </c>
      <c r="T15" s="86">
        <f t="shared" si="7"/>
        <v>7412820</v>
      </c>
      <c r="U15" s="435">
        <f t="shared" si="0"/>
        <v>80.57264653641212</v>
      </c>
      <c r="V15" s="435">
        <f t="shared" si="1"/>
        <v>18.390046555563064</v>
      </c>
      <c r="W15" s="435">
        <f t="shared" si="2"/>
        <v>25.502595726373166</v>
      </c>
      <c r="X15" s="435">
        <f>G15/(AA15*1000)*100</f>
        <v>25.502595726373166</v>
      </c>
      <c r="Y15" s="435">
        <f t="shared" si="8"/>
        <v>106.30747167646643</v>
      </c>
      <c r="Z15" s="436">
        <f>G15/T15*100</f>
        <v>23.9894668965387</v>
      </c>
      <c r="AA15" s="86">
        <f>AB15</f>
        <v>6972.999999999996</v>
      </c>
      <c r="AB15" s="86">
        <f t="shared" si="3"/>
        <v>6972.999999999996</v>
      </c>
      <c r="AC15" s="538">
        <v>797.5833333333329</v>
      </c>
      <c r="AD15" s="538">
        <v>6175.416666666663</v>
      </c>
      <c r="AE15" s="86">
        <v>594880.8567659298</v>
      </c>
      <c r="AF15" s="86">
        <v>5482366.869364679</v>
      </c>
      <c r="AG15" s="86">
        <f t="shared" si="4"/>
        <v>6077247.7261306085</v>
      </c>
    </row>
    <row r="16" spans="1:33" ht="14.25">
      <c r="A16" s="5">
        <v>9</v>
      </c>
      <c r="B16" s="6" t="s">
        <v>29</v>
      </c>
      <c r="C16" s="60">
        <f>'Anne-8'!R17+'Anne-7'!Q17+'Anne-7'!T17+'Anne-6'!AC17</f>
        <v>1267221</v>
      </c>
      <c r="D16" s="60">
        <f>'Anne-8'!S17+'Anne-7'!R17+'Anne-7'!U17+'Anne-6'!AD17</f>
        <v>167796</v>
      </c>
      <c r="E16" s="58">
        <f t="shared" si="5"/>
        <v>1435017</v>
      </c>
      <c r="F16" s="58"/>
      <c r="G16" s="58">
        <f>E16</f>
        <v>1435017</v>
      </c>
      <c r="H16" s="58">
        <f>'Anne-6'!G17+'Anne-8'!H17</f>
        <v>2571114</v>
      </c>
      <c r="I16" s="58">
        <f>'Anne-6'!S17+'Anne-7'!I17+'Anne-8'!I17</f>
        <v>714878</v>
      </c>
      <c r="J16" s="58">
        <f>'Anne-6'!I17+'Anne-8'!M17</f>
        <v>732422</v>
      </c>
      <c r="K16" s="58">
        <f>'Anne-7'!J17+'Anne-8'!J17</f>
        <v>0</v>
      </c>
      <c r="L16" s="58">
        <f>'Anne-6'!N17</f>
        <v>306493</v>
      </c>
      <c r="M16" s="58">
        <f>'Anne-6'!K17</f>
        <v>2108278</v>
      </c>
      <c r="N16" s="217">
        <f>'Anne-6'!X17</f>
        <v>0</v>
      </c>
      <c r="O16" s="58"/>
      <c r="P16" s="58">
        <f>'Anne-7'!L17+'Anne-8'!L17</f>
        <v>0</v>
      </c>
      <c r="Q16" s="58">
        <f>'Anne-4'!O16</f>
        <v>0</v>
      </c>
      <c r="R16" s="58">
        <f>'Anne-6'!W17</f>
        <v>0</v>
      </c>
      <c r="S16" s="58">
        <f t="shared" si="6"/>
        <v>6433185</v>
      </c>
      <c r="T16" s="58">
        <f t="shared" si="7"/>
        <v>7868202</v>
      </c>
      <c r="U16" s="152">
        <f t="shared" si="0"/>
        <v>38.058494343778136</v>
      </c>
      <c r="V16" s="152">
        <f t="shared" si="1"/>
        <v>1.9045003121275752</v>
      </c>
      <c r="W16" s="152">
        <f t="shared" si="2"/>
        <v>11.820406089976798</v>
      </c>
      <c r="X16" s="152">
        <f>G16/(AA16*1000)*100</f>
        <v>11.820406089976798</v>
      </c>
      <c r="Y16" s="152">
        <f t="shared" si="8"/>
        <v>64.81131780178745</v>
      </c>
      <c r="Z16" s="153">
        <f>G16/T16*100</f>
        <v>18.238181988718644</v>
      </c>
      <c r="AA16" s="58">
        <f>AB16</f>
        <v>12140.166666666668</v>
      </c>
      <c r="AB16" s="58">
        <f t="shared" si="3"/>
        <v>12140.166666666668</v>
      </c>
      <c r="AC16" s="538">
        <v>3329.6666666666683</v>
      </c>
      <c r="AD16" s="538">
        <v>8810.5</v>
      </c>
      <c r="AE16" s="58">
        <v>2505308.7795849093</v>
      </c>
      <c r="AF16" s="58">
        <v>7564608.153037823</v>
      </c>
      <c r="AG16" s="58">
        <f t="shared" si="4"/>
        <v>10069916.932622733</v>
      </c>
    </row>
    <row r="17" spans="1:33" ht="14.25">
      <c r="A17" s="5">
        <v>10</v>
      </c>
      <c r="B17" s="6" t="s">
        <v>30</v>
      </c>
      <c r="C17" s="60">
        <f>'Anne-8'!R18+'Anne-7'!Q18+'Anne-7'!T18+'Anne-6'!AC18</f>
        <v>807940</v>
      </c>
      <c r="D17" s="60">
        <f>'Anne-8'!S18+'Anne-7'!R18+'Anne-7'!U18+'Anne-6'!AD18</f>
        <v>323424</v>
      </c>
      <c r="E17" s="58">
        <f t="shared" si="5"/>
        <v>1131364</v>
      </c>
      <c r="F17" s="58"/>
      <c r="G17" s="428" t="s">
        <v>205</v>
      </c>
      <c r="H17" s="428" t="s">
        <v>205</v>
      </c>
      <c r="I17" s="428" t="s">
        <v>205</v>
      </c>
      <c r="J17" s="428" t="s">
        <v>205</v>
      </c>
      <c r="K17" s="428" t="s">
        <v>205</v>
      </c>
      <c r="L17" s="428" t="s">
        <v>205</v>
      </c>
      <c r="M17" s="428" t="s">
        <v>205</v>
      </c>
      <c r="N17" s="428" t="s">
        <v>205</v>
      </c>
      <c r="O17" s="428" t="s">
        <v>205</v>
      </c>
      <c r="P17" s="428" t="s">
        <v>205</v>
      </c>
      <c r="Q17" s="428" t="s">
        <v>205</v>
      </c>
      <c r="R17" s="428" t="s">
        <v>205</v>
      </c>
      <c r="S17" s="428" t="s">
        <v>205</v>
      </c>
      <c r="T17" s="428" t="s">
        <v>205</v>
      </c>
      <c r="U17" s="152">
        <f t="shared" si="0"/>
        <v>10.662793830829761</v>
      </c>
      <c r="V17" s="152">
        <f t="shared" si="1"/>
        <v>1.287256160949321</v>
      </c>
      <c r="W17" s="152">
        <f t="shared" si="2"/>
        <v>3.459589884405876</v>
      </c>
      <c r="X17" s="152"/>
      <c r="Y17" s="152"/>
      <c r="Z17" s="153"/>
      <c r="AA17" s="58"/>
      <c r="AB17" s="58">
        <f t="shared" si="3"/>
        <v>32702.257718454737</v>
      </c>
      <c r="AC17" s="538">
        <v>7577.1886132128975</v>
      </c>
      <c r="AD17" s="538">
        <v>25125.06910524184</v>
      </c>
      <c r="AE17" s="58">
        <v>5986696.638801611</v>
      </c>
      <c r="AF17" s="58">
        <v>20922730.927083485</v>
      </c>
      <c r="AG17" s="58">
        <f t="shared" si="4"/>
        <v>26909427.565885097</v>
      </c>
    </row>
    <row r="18" spans="1:33" ht="14.25">
      <c r="A18" s="5">
        <v>11</v>
      </c>
      <c r="B18" s="6" t="s">
        <v>31</v>
      </c>
      <c r="C18" s="60">
        <f>'Anne-8'!R19+'Anne-7'!Q19+'Anne-7'!T19+'Anne-6'!AC19</f>
        <v>6854614</v>
      </c>
      <c r="D18" s="60">
        <f>'Anne-8'!S19+'Anne-7'!R19+'Anne-7'!U19+'Anne-6'!AD19</f>
        <v>1935315</v>
      </c>
      <c r="E18" s="58">
        <f t="shared" si="5"/>
        <v>8789929</v>
      </c>
      <c r="F18" s="58"/>
      <c r="G18" s="58">
        <f>E18</f>
        <v>8789929</v>
      </c>
      <c r="H18" s="58">
        <f>'Anne-6'!G19+'Anne-8'!H19</f>
        <v>17559238</v>
      </c>
      <c r="I18" s="58">
        <f>'Anne-6'!S19+'Anne-7'!I19+'Anne-8'!I19</f>
        <v>6529852</v>
      </c>
      <c r="J18" s="58">
        <f>'Anne-6'!I19+'Anne-8'!M19</f>
        <v>7150617</v>
      </c>
      <c r="K18" s="58">
        <f>'Anne-7'!J19+'Anne-8'!J19</f>
        <v>6061219</v>
      </c>
      <c r="L18" s="58">
        <f>'Anne-6'!N19</f>
        <v>6600203</v>
      </c>
      <c r="M18" s="58">
        <f>'Anne-6'!K19</f>
        <v>2546089</v>
      </c>
      <c r="N18" s="217">
        <f>'Anne-6'!X19</f>
        <v>0</v>
      </c>
      <c r="O18" s="58"/>
      <c r="P18" s="58">
        <f>'Anne-7'!L19+'Anne-8'!L19</f>
        <v>1881588</v>
      </c>
      <c r="Q18" s="58">
        <f>'Anne-4'!O18</f>
        <v>0</v>
      </c>
      <c r="R18" s="58">
        <f>'Anne-6'!W19</f>
        <v>0</v>
      </c>
      <c r="S18" s="58">
        <f t="shared" si="6"/>
        <v>48328806</v>
      </c>
      <c r="T18" s="58">
        <f t="shared" si="7"/>
        <v>57118735</v>
      </c>
      <c r="U18" s="152">
        <f t="shared" si="0"/>
        <v>29.87540969316597</v>
      </c>
      <c r="V18" s="152">
        <f t="shared" si="1"/>
        <v>5.063508121661401</v>
      </c>
      <c r="W18" s="152">
        <f t="shared" si="2"/>
        <v>14.370886865818871</v>
      </c>
      <c r="X18" s="152">
        <f>G18/(AA18*1000)*100</f>
        <v>14.370886865818871</v>
      </c>
      <c r="Y18" s="152">
        <f t="shared" si="8"/>
        <v>93.38492706865877</v>
      </c>
      <c r="Z18" s="153">
        <f>G18/T18*100</f>
        <v>15.388871969941212</v>
      </c>
      <c r="AA18" s="58">
        <f>AB18</f>
        <v>61164.83333333331</v>
      </c>
      <c r="AB18" s="58">
        <f t="shared" si="3"/>
        <v>61164.83333333331</v>
      </c>
      <c r="AC18" s="538">
        <v>22944</v>
      </c>
      <c r="AD18" s="538">
        <v>38220.83333333331</v>
      </c>
      <c r="AE18" s="58">
        <v>17919858.030487653</v>
      </c>
      <c r="AF18" s="58">
        <v>34814100.213051744</v>
      </c>
      <c r="AG18" s="58">
        <f t="shared" si="4"/>
        <v>52733958.24353939</v>
      </c>
    </row>
    <row r="19" spans="1:33" ht="14.25">
      <c r="A19" s="5">
        <v>12</v>
      </c>
      <c r="B19" s="6" t="s">
        <v>32</v>
      </c>
      <c r="C19" s="60">
        <f>'Anne-8'!R20+'Anne-7'!Q20+'Anne-7'!T20+'Anne-6'!AC20</f>
        <v>5641388</v>
      </c>
      <c r="D19" s="60">
        <f>'Anne-8'!S20+'Anne-7'!R20+'Anne-7'!U20+'Anne-6'!AD20</f>
        <v>5567131</v>
      </c>
      <c r="E19" s="58">
        <f t="shared" si="5"/>
        <v>11208519</v>
      </c>
      <c r="F19" s="58"/>
      <c r="G19" s="58">
        <f>E19</f>
        <v>11208519</v>
      </c>
      <c r="H19" s="58">
        <f>'Anne-6'!G20+'Anne-8'!H20</f>
        <v>3748510</v>
      </c>
      <c r="I19" s="58">
        <f>'Anne-6'!S20+'Anne-7'!I20+'Anne-8'!I20</f>
        <v>2247343</v>
      </c>
      <c r="J19" s="58">
        <f>'Anne-6'!I20+'Anne-8'!M20</f>
        <v>6625536</v>
      </c>
      <c r="K19" s="58">
        <f>'Anne-7'!J20+'Anne-8'!J20</f>
        <v>1675942</v>
      </c>
      <c r="L19" s="58">
        <f>'Anne-6'!N20</f>
        <v>8563435</v>
      </c>
      <c r="M19" s="58">
        <f>'Anne-6'!K20</f>
        <v>1183</v>
      </c>
      <c r="N19" s="217">
        <f>'Anne-6'!X20</f>
        <v>0</v>
      </c>
      <c r="O19" s="58"/>
      <c r="P19" s="58">
        <f>'Anne-7'!L20+'Anne-8'!L20</f>
        <v>428749</v>
      </c>
      <c r="Q19" s="58">
        <f>'Anne-4'!O19</f>
        <v>0</v>
      </c>
      <c r="R19" s="58">
        <f>'Anne-6'!W20</f>
        <v>0</v>
      </c>
      <c r="S19" s="58">
        <f t="shared" si="6"/>
        <v>23290698</v>
      </c>
      <c r="T19" s="58">
        <f t="shared" si="7"/>
        <v>34499217</v>
      </c>
      <c r="U19" s="152">
        <f t="shared" si="0"/>
        <v>63.09571636282295</v>
      </c>
      <c r="V19" s="152">
        <f t="shared" si="1"/>
        <v>21.106605374152885</v>
      </c>
      <c r="W19" s="152">
        <f t="shared" si="2"/>
        <v>31.736669757696312</v>
      </c>
      <c r="X19" s="152">
        <f>G19/(AA19*1000)*100</f>
        <v>31.736669757696312</v>
      </c>
      <c r="Y19" s="152">
        <f t="shared" si="8"/>
        <v>97.68375793698547</v>
      </c>
      <c r="Z19" s="153">
        <f>G19/T19*100</f>
        <v>32.48919823310772</v>
      </c>
      <c r="AA19" s="58">
        <f>AB19</f>
        <v>35317.25</v>
      </c>
      <c r="AB19" s="58">
        <f t="shared" si="3"/>
        <v>35317.25</v>
      </c>
      <c r="AC19" s="538">
        <v>8941</v>
      </c>
      <c r="AD19" s="538">
        <v>26376.25</v>
      </c>
      <c r="AE19" s="58">
        <v>8294083.17746361</v>
      </c>
      <c r="AF19" s="58">
        <v>23605130.641880594</v>
      </c>
      <c r="AG19" s="58">
        <f t="shared" si="4"/>
        <v>31899213.819344204</v>
      </c>
    </row>
    <row r="20" spans="1:33" ht="14.25">
      <c r="A20" s="5">
        <v>13</v>
      </c>
      <c r="B20" s="6" t="s">
        <v>33</v>
      </c>
      <c r="C20" s="60">
        <f>'Anne-8'!R21+'Anne-7'!Q21+'Anne-7'!T21+'Anne-6'!AC21</f>
        <v>2580959</v>
      </c>
      <c r="D20" s="60">
        <f>'Anne-8'!S21+'Anne-7'!R21+'Anne-7'!U21+'Anne-6'!AD21</f>
        <v>1251607</v>
      </c>
      <c r="E20" s="58">
        <f t="shared" si="5"/>
        <v>3832566</v>
      </c>
      <c r="F20" s="58"/>
      <c r="G20" s="58">
        <f>E20+E12</f>
        <v>5826846</v>
      </c>
      <c r="H20" s="58">
        <f>'Anne-6'!G21+'Anne-8'!H21</f>
        <v>10710975</v>
      </c>
      <c r="I20" s="58">
        <f>'Anne-6'!S21+'Anne-7'!I21+'Anne-8'!I21</f>
        <v>12854365</v>
      </c>
      <c r="J20" s="58">
        <f>'Anne-6'!I21+'Anne-8'!M21</f>
        <v>4671684</v>
      </c>
      <c r="K20" s="58">
        <f>'Anne-7'!J21+'Anne-8'!J21</f>
        <v>4055448</v>
      </c>
      <c r="L20" s="58">
        <f>'Anne-6'!N21</f>
        <v>16765452</v>
      </c>
      <c r="M20" s="58">
        <f>'Anne-6'!K21</f>
        <v>22694</v>
      </c>
      <c r="N20" s="217">
        <f>'Anne-6'!X21</f>
        <v>0</v>
      </c>
      <c r="O20" s="58"/>
      <c r="P20" s="58">
        <f>'Anne-7'!L21+'Anne-8'!L21</f>
        <v>0</v>
      </c>
      <c r="Q20" s="58">
        <f>'Anne-4'!O20</f>
        <v>0</v>
      </c>
      <c r="R20" s="58">
        <f>'Anne-6'!W21</f>
        <v>1471704</v>
      </c>
      <c r="S20" s="58">
        <f t="shared" si="6"/>
        <v>50552322</v>
      </c>
      <c r="T20" s="58">
        <f t="shared" si="7"/>
        <v>56379168</v>
      </c>
      <c r="U20" s="152">
        <f t="shared" si="0"/>
        <v>12.097547505830457</v>
      </c>
      <c r="V20" s="152">
        <f t="shared" si="1"/>
        <v>2.3174576670396942</v>
      </c>
      <c r="W20" s="152">
        <f t="shared" si="2"/>
        <v>5.086869833314739</v>
      </c>
      <c r="X20" s="152">
        <f>G20/(AA20*1000)*100</f>
        <v>5.784919793794475</v>
      </c>
      <c r="Y20" s="152">
        <f t="shared" si="8"/>
        <v>55.973500058327275</v>
      </c>
      <c r="Z20" s="153">
        <f>G20/T20*100</f>
        <v>10.335104625878836</v>
      </c>
      <c r="AA20" s="58">
        <f>AB20+AB12</f>
        <v>100724.75</v>
      </c>
      <c r="AB20" s="58">
        <f t="shared" si="3"/>
        <v>75342.32495787294</v>
      </c>
      <c r="AC20" s="538">
        <v>21334.563875497057</v>
      </c>
      <c r="AD20" s="538">
        <v>54007.76108237589</v>
      </c>
      <c r="AE20" s="58">
        <v>16102589.934285555</v>
      </c>
      <c r="AF20" s="58">
        <v>44282527.572407804</v>
      </c>
      <c r="AG20" s="58">
        <f t="shared" si="4"/>
        <v>60385117.50669336</v>
      </c>
    </row>
    <row r="21" spans="1:33" ht="14.25">
      <c r="A21" s="5">
        <v>14</v>
      </c>
      <c r="B21" s="6" t="s">
        <v>34</v>
      </c>
      <c r="C21" s="60">
        <f>'Anne-8'!R22+'Anne-7'!Q22+'Anne-7'!T22+'Anne-6'!AC22</f>
        <v>5579814</v>
      </c>
      <c r="D21" s="60">
        <f>'Anne-8'!S22+'Anne-7'!R22+'Anne-7'!U22+'Anne-6'!AD22</f>
        <v>2994778</v>
      </c>
      <c r="E21" s="58">
        <f>C21+D21</f>
        <v>8574592</v>
      </c>
      <c r="F21" s="58"/>
      <c r="G21" s="58">
        <f>E21</f>
        <v>8574592</v>
      </c>
      <c r="H21" s="58">
        <f>'Anne-6'!G22+'Anne-8'!H22</f>
        <v>10558522</v>
      </c>
      <c r="I21" s="58">
        <f>'Anne-6'!S22+'Anne-7'!I22+'Anne-8'!I22</f>
        <v>7487976</v>
      </c>
      <c r="J21" s="58">
        <f>'Anne-6'!I22+'Anne-8'!M22</f>
        <v>15014575</v>
      </c>
      <c r="K21" s="58">
        <f>'Anne-7'!J22+'Anne-8'!J22</f>
        <v>6474106</v>
      </c>
      <c r="L21" s="58">
        <f>'Anne-6'!N22</f>
        <v>18151446</v>
      </c>
      <c r="M21" s="58">
        <f>'Anne-6'!K22</f>
        <v>1389269</v>
      </c>
      <c r="N21" s="217">
        <f>'Anne-6'!X22</f>
        <v>0</v>
      </c>
      <c r="O21" s="58"/>
      <c r="P21" s="58">
        <f>'Anne-7'!L22+'Anne-8'!L22</f>
        <v>0</v>
      </c>
      <c r="Q21" s="58">
        <f>'Anne-4'!O21</f>
        <v>6072987</v>
      </c>
      <c r="R21" s="58">
        <f>'Anne-6'!W22</f>
        <v>0</v>
      </c>
      <c r="S21" s="58">
        <f t="shared" si="6"/>
        <v>65148881</v>
      </c>
      <c r="T21" s="58">
        <f t="shared" si="7"/>
        <v>73723473</v>
      </c>
      <c r="U21" s="152">
        <f t="shared" si="0"/>
        <v>16.56905123118865</v>
      </c>
      <c r="V21" s="152">
        <f t="shared" si="1"/>
        <v>4.719400221410646</v>
      </c>
      <c r="W21" s="152">
        <f t="shared" si="2"/>
        <v>8.827693214276003</v>
      </c>
      <c r="X21" s="152">
        <f>G21/(AA21*1000)*100</f>
        <v>8.827693214276003</v>
      </c>
      <c r="Y21" s="152">
        <f t="shared" si="8"/>
        <v>75.89961158909487</v>
      </c>
      <c r="Z21" s="153">
        <f>G21/T21*100</f>
        <v>11.630748866104016</v>
      </c>
      <c r="AA21" s="58">
        <f>AB21</f>
        <v>97132.8725621469</v>
      </c>
      <c r="AB21" s="58">
        <f t="shared" si="3"/>
        <v>97132.8725621469</v>
      </c>
      <c r="AC21" s="538">
        <v>33676.122562146906</v>
      </c>
      <c r="AD21" s="538">
        <v>63456.75</v>
      </c>
      <c r="AE21" s="58">
        <v>25058603.980361335</v>
      </c>
      <c r="AF21" s="58">
        <v>56407642.20004471</v>
      </c>
      <c r="AG21" s="58">
        <f t="shared" si="4"/>
        <v>81466246.18040603</v>
      </c>
    </row>
    <row r="22" spans="1:33" ht="14.25">
      <c r="A22" s="5">
        <v>15</v>
      </c>
      <c r="B22" s="6" t="s">
        <v>35</v>
      </c>
      <c r="C22" s="60">
        <f>'Anne-8'!R23+'Anne-7'!Q23+'Anne-7'!T23+'Anne-6'!AC23</f>
        <v>482247</v>
      </c>
      <c r="D22" s="60">
        <f>'Anne-8'!S23+'Anne-7'!R23+'Anne-7'!U23+'Anne-6'!AD23</f>
        <v>254561</v>
      </c>
      <c r="E22" s="58">
        <f t="shared" si="5"/>
        <v>736808</v>
      </c>
      <c r="F22" s="58"/>
      <c r="G22" s="58">
        <f>E22+E23</f>
        <v>1610090</v>
      </c>
      <c r="H22" s="58">
        <f>'Anne-6'!G23+'Anne-8'!H23</f>
        <v>3035984</v>
      </c>
      <c r="I22" s="58">
        <f>'Anne-6'!S23+'Anne-7'!I23+'Anne-8'!I23</f>
        <v>1019408</v>
      </c>
      <c r="J22" s="58">
        <f>'Anne-6'!I23+'Anne-8'!M23</f>
        <v>1129908</v>
      </c>
      <c r="K22" s="58">
        <f>'Anne-7'!J23+'Anne-8'!J23</f>
        <v>0</v>
      </c>
      <c r="L22" s="58">
        <f>'Anne-6'!N23</f>
        <v>329958</v>
      </c>
      <c r="M22" s="58">
        <f>'Anne-6'!K23</f>
        <v>2338153</v>
      </c>
      <c r="N22" s="217">
        <f>'Anne-6'!X23</f>
        <v>0</v>
      </c>
      <c r="O22" s="58"/>
      <c r="P22" s="58">
        <f>'Anne-7'!L23+'Anne-8'!L23</f>
        <v>0</v>
      </c>
      <c r="Q22" s="58">
        <f>'Anne-4'!O22</f>
        <v>0</v>
      </c>
      <c r="R22" s="58">
        <f>'Anne-6'!W23</f>
        <v>0</v>
      </c>
      <c r="S22" s="58">
        <f t="shared" si="6"/>
        <v>7853411</v>
      </c>
      <c r="T22" s="58">
        <f t="shared" si="7"/>
        <v>9463501</v>
      </c>
      <c r="U22" s="152">
        <f t="shared" si="0"/>
        <v>25.789314714106617</v>
      </c>
      <c r="V22" s="152">
        <f t="shared" si="1"/>
        <v>4.532404339697111</v>
      </c>
      <c r="W22" s="152">
        <f t="shared" si="2"/>
        <v>9.841932368074676</v>
      </c>
      <c r="X22" s="152">
        <f>G22/(AA22*1000)*100</f>
        <v>11.816812941500269</v>
      </c>
      <c r="Y22" s="152">
        <f t="shared" si="8"/>
        <v>69.45476407449318</v>
      </c>
      <c r="Z22" s="153">
        <f>G22/T22*100</f>
        <v>17.01368235708962</v>
      </c>
      <c r="AA22" s="58">
        <f>AB22+AB23</f>
        <v>13625.416666666657</v>
      </c>
      <c r="AB22" s="58">
        <f t="shared" si="3"/>
        <v>7486.416004951045</v>
      </c>
      <c r="AC22" s="538">
        <v>1869.948873578302</v>
      </c>
      <c r="AD22" s="538">
        <v>5616.467131372742</v>
      </c>
      <c r="AE22" s="58">
        <v>1436746.244734193</v>
      </c>
      <c r="AF22" s="58">
        <v>4951548.718636215</v>
      </c>
      <c r="AG22" s="58">
        <f t="shared" si="4"/>
        <v>6388294.963370408</v>
      </c>
    </row>
    <row r="23" spans="1:33" ht="14.25">
      <c r="A23" s="5">
        <v>16</v>
      </c>
      <c r="B23" s="6" t="s">
        <v>36</v>
      </c>
      <c r="C23" s="60">
        <f>'Anne-8'!R24+'Anne-7'!Q24+'Anne-7'!T24+'Anne-6'!AC24</f>
        <v>546585</v>
      </c>
      <c r="D23" s="60">
        <f>'Anne-8'!S24+'Anne-7'!R24+'Anne-7'!U24+'Anne-6'!AD24</f>
        <v>326697</v>
      </c>
      <c r="E23" s="58">
        <f t="shared" si="5"/>
        <v>873282</v>
      </c>
      <c r="F23" s="58"/>
      <c r="G23" s="428" t="s">
        <v>205</v>
      </c>
      <c r="H23" s="428" t="s">
        <v>205</v>
      </c>
      <c r="I23" s="428" t="s">
        <v>205</v>
      </c>
      <c r="J23" s="428" t="s">
        <v>205</v>
      </c>
      <c r="K23" s="428" t="s">
        <v>205</v>
      </c>
      <c r="L23" s="428" t="s">
        <v>205</v>
      </c>
      <c r="M23" s="428" t="s">
        <v>205</v>
      </c>
      <c r="N23" s="428" t="s">
        <v>205</v>
      </c>
      <c r="O23" s="428" t="s">
        <v>205</v>
      </c>
      <c r="P23" s="428" t="s">
        <v>205</v>
      </c>
      <c r="Q23" s="428" t="s">
        <v>205</v>
      </c>
      <c r="R23" s="428" t="s">
        <v>205</v>
      </c>
      <c r="S23" s="428" t="s">
        <v>205</v>
      </c>
      <c r="T23" s="428" t="s">
        <v>205</v>
      </c>
      <c r="U23" s="152">
        <f t="shared" si="0"/>
        <v>36.56981119581476</v>
      </c>
      <c r="V23" s="152">
        <f t="shared" si="1"/>
        <v>7.034264435523782</v>
      </c>
      <c r="W23" s="152">
        <f t="shared" si="2"/>
        <v>14.225149142693716</v>
      </c>
      <c r="X23" s="152"/>
      <c r="Y23" s="152"/>
      <c r="Z23" s="153"/>
      <c r="AA23" s="58"/>
      <c r="AB23" s="58">
        <f t="shared" si="3"/>
        <v>6139.000661715613</v>
      </c>
      <c r="AC23" s="538">
        <v>1494.634459755029</v>
      </c>
      <c r="AD23" s="538">
        <v>4644.3662019605845</v>
      </c>
      <c r="AE23" s="58">
        <v>1145918.7558733525</v>
      </c>
      <c r="AF23" s="58">
        <v>4322467.895077089</v>
      </c>
      <c r="AG23" s="58">
        <f t="shared" si="4"/>
        <v>5468386.650950441</v>
      </c>
    </row>
    <row r="24" spans="1:33" ht="14.25">
      <c r="A24" s="5">
        <v>17</v>
      </c>
      <c r="B24" s="6" t="s">
        <v>37</v>
      </c>
      <c r="C24" s="60">
        <f>'Anne-8'!R25+'Anne-7'!Q25+'Anne-7'!T25+'Anne-6'!AC25</f>
        <v>2445980</v>
      </c>
      <c r="D24" s="60">
        <f>'Anne-8'!S25+'Anne-7'!R25+'Anne-7'!U25+'Anne-6'!AD25</f>
        <v>1212508</v>
      </c>
      <c r="E24" s="58">
        <f t="shared" si="5"/>
        <v>3658488</v>
      </c>
      <c r="F24" s="58"/>
      <c r="G24" s="58">
        <f>E24</f>
        <v>3658488</v>
      </c>
      <c r="H24" s="58">
        <f>'Anne-6'!G25+'Anne-8'!H25</f>
        <v>7616080</v>
      </c>
      <c r="I24" s="58">
        <f>'Anne-6'!S25+'Anne-7'!I25+'Anne-8'!I25</f>
        <v>4246405</v>
      </c>
      <c r="J24" s="58">
        <f>'Anne-6'!I25+'Anne-8'!M25</f>
        <v>3308352</v>
      </c>
      <c r="K24" s="58">
        <f>'Anne-7'!J25+'Anne-8'!J25</f>
        <v>2022563</v>
      </c>
      <c r="L24" s="58">
        <f>'Anne-6'!N25</f>
        <v>1102358</v>
      </c>
      <c r="M24" s="58">
        <f>'Anne-6'!K25</f>
        <v>3558272</v>
      </c>
      <c r="N24" s="217">
        <f>'Anne-6'!X25</f>
        <v>0</v>
      </c>
      <c r="O24" s="58"/>
      <c r="P24" s="58">
        <f>'Anne-7'!L25+'Anne-8'!L25</f>
        <v>0</v>
      </c>
      <c r="Q24" s="58">
        <f>'Anne-4'!O24</f>
        <v>0</v>
      </c>
      <c r="R24" s="58">
        <f>'Anne-6'!W25</f>
        <v>0</v>
      </c>
      <c r="S24" s="58">
        <f t="shared" si="6"/>
        <v>21854030</v>
      </c>
      <c r="T24" s="58">
        <f t="shared" si="7"/>
        <v>25512518</v>
      </c>
      <c r="U24" s="152">
        <f t="shared" si="0"/>
        <v>33.82396459932241</v>
      </c>
      <c r="V24" s="152">
        <f t="shared" si="1"/>
        <v>3.5107677310697305</v>
      </c>
      <c r="W24" s="152">
        <f t="shared" si="2"/>
        <v>8.758999241849892</v>
      </c>
      <c r="X24" s="152">
        <f>G24/(AA24*1000)*100</f>
        <v>8.758999241849892</v>
      </c>
      <c r="Y24" s="152">
        <f t="shared" si="8"/>
        <v>61.08100554646666</v>
      </c>
      <c r="Z24" s="153">
        <f>G24/T24*100</f>
        <v>14.339972244213605</v>
      </c>
      <c r="AA24" s="58">
        <f>AB24</f>
        <v>41768.33333333331</v>
      </c>
      <c r="AB24" s="58">
        <f t="shared" si="3"/>
        <v>41768.33333333331</v>
      </c>
      <c r="AC24" s="538">
        <v>7231.5</v>
      </c>
      <c r="AD24" s="538">
        <v>34536.83333333331</v>
      </c>
      <c r="AE24" s="58">
        <v>5496317.981234442</v>
      </c>
      <c r="AF24" s="58">
        <v>31210601.960714735</v>
      </c>
      <c r="AG24" s="58">
        <f t="shared" si="4"/>
        <v>36706919.941949174</v>
      </c>
    </row>
    <row r="25" spans="1:33" ht="14.25">
      <c r="A25" s="5">
        <v>18</v>
      </c>
      <c r="B25" s="6" t="s">
        <v>38</v>
      </c>
      <c r="C25" s="60">
        <f>'Anne-8'!R26+'Anne-7'!Q26+'Anne-7'!T26+'Anne-6'!AC26</f>
        <v>3336718</v>
      </c>
      <c r="D25" s="60">
        <f>'Anne-8'!S26+'Anne-7'!R26+'Anne-7'!U26+'Anne-6'!AD26</f>
        <v>2130308</v>
      </c>
      <c r="E25" s="58">
        <f t="shared" si="5"/>
        <v>5467026</v>
      </c>
      <c r="F25" s="58"/>
      <c r="G25" s="58">
        <f>E25</f>
        <v>5467026</v>
      </c>
      <c r="H25" s="58">
        <f>'Anne-6'!G26+'Anne-8'!H26</f>
        <v>7426924</v>
      </c>
      <c r="I25" s="58">
        <f>'Anne-6'!S26+'Anne-7'!I26+'Anne-8'!I26</f>
        <v>2986714</v>
      </c>
      <c r="J25" s="58">
        <f>'Anne-6'!I26+'Anne-8'!M26</f>
        <v>4610130</v>
      </c>
      <c r="K25" s="58">
        <f>'Anne-7'!J26+'Anne-8'!J26</f>
        <v>2481658</v>
      </c>
      <c r="L25" s="58">
        <f>'Anne-6'!N26</f>
        <v>5804185</v>
      </c>
      <c r="M25" s="58">
        <f>'Anne-6'!K26</f>
        <v>866042</v>
      </c>
      <c r="N25" s="217">
        <f>'Anne-6'!X26</f>
        <v>0</v>
      </c>
      <c r="O25" s="58">
        <f>'Anne-7'!K26+'Anne-8'!K26</f>
        <v>2233789</v>
      </c>
      <c r="P25" s="58">
        <f>'Anne-7'!L26+'Anne-8'!L26</f>
        <v>0</v>
      </c>
      <c r="Q25" s="58">
        <f>'Anne-4'!O25</f>
        <v>0</v>
      </c>
      <c r="R25" s="58">
        <f>'Anne-6'!W26</f>
        <v>0</v>
      </c>
      <c r="S25" s="58">
        <f t="shared" si="6"/>
        <v>26409442</v>
      </c>
      <c r="T25" s="58">
        <f t="shared" si="7"/>
        <v>31876468</v>
      </c>
      <c r="U25" s="152">
        <f t="shared" si="0"/>
        <v>26.473484608060932</v>
      </c>
      <c r="V25" s="152">
        <f t="shared" si="1"/>
        <v>12.114347455217516</v>
      </c>
      <c r="W25" s="152">
        <f t="shared" si="2"/>
        <v>18.10933121335586</v>
      </c>
      <c r="X25" s="152">
        <f>G25/(AA25*1000)*100</f>
        <v>18.10933121335586</v>
      </c>
      <c r="Y25" s="152">
        <f t="shared" si="8"/>
        <v>105.58967835966743</v>
      </c>
      <c r="Z25" s="153">
        <f>G25/T25*100</f>
        <v>17.15066424548667</v>
      </c>
      <c r="AA25" s="58">
        <f>AB25</f>
        <v>30189</v>
      </c>
      <c r="AB25" s="58">
        <f t="shared" si="3"/>
        <v>30189</v>
      </c>
      <c r="AC25" s="538">
        <v>12604</v>
      </c>
      <c r="AD25" s="538">
        <v>17585</v>
      </c>
      <c r="AE25" s="60">
        <v>9054362.204957837</v>
      </c>
      <c r="AF25" s="60">
        <v>16135847.643122543</v>
      </c>
      <c r="AG25" s="60">
        <f t="shared" si="4"/>
        <v>25190209.84808038</v>
      </c>
    </row>
    <row r="26" spans="1:33" ht="14.25">
      <c r="A26" s="5">
        <v>19</v>
      </c>
      <c r="B26" s="6" t="s">
        <v>39</v>
      </c>
      <c r="C26" s="60">
        <f>'Anne-8'!R27+'Anne-7'!Q27+'Anne-7'!T27+'Anne-6'!AC27</f>
        <v>4654127</v>
      </c>
      <c r="D26" s="60">
        <f>'Anne-8'!S27+'Anne-7'!R27+'Anne-7'!U27+'Anne-6'!AD27</f>
        <v>2167588</v>
      </c>
      <c r="E26" s="58">
        <f t="shared" si="5"/>
        <v>6821715</v>
      </c>
      <c r="F26" s="58"/>
      <c r="G26" s="58">
        <f>E26</f>
        <v>6821715</v>
      </c>
      <c r="H26" s="58">
        <f>'Anne-6'!G27+'Anne-8'!H27</f>
        <v>15600182</v>
      </c>
      <c r="I26" s="58">
        <f>'Anne-6'!S27+'Anne-7'!I27+'Anne-8'!I27</f>
        <v>5959950</v>
      </c>
      <c r="J26" s="58">
        <f>'Anne-6'!I27+'Anne-8'!M27</f>
        <v>9606680</v>
      </c>
      <c r="K26" s="58">
        <f>'Anne-7'!J27+'Anne-8'!J27</f>
        <v>2161978</v>
      </c>
      <c r="L26" s="58">
        <f>'Anne-6'!N27</f>
        <v>5740348</v>
      </c>
      <c r="M26" s="58">
        <f>'Anne-6'!K27</f>
        <v>4310006</v>
      </c>
      <c r="N26" s="217">
        <f>'Anne-6'!X27</f>
        <v>0</v>
      </c>
      <c r="O26" s="58"/>
      <c r="P26" s="58">
        <f>'Anne-7'!L27+'Anne-8'!L27</f>
        <v>2309258</v>
      </c>
      <c r="Q26" s="58">
        <f>'Anne-4'!O26</f>
        <v>0</v>
      </c>
      <c r="R26" s="58">
        <f>'Anne-6'!W27</f>
        <v>0</v>
      </c>
      <c r="S26" s="58">
        <f t="shared" si="6"/>
        <v>45688402</v>
      </c>
      <c r="T26" s="58">
        <f t="shared" si="7"/>
        <v>52510117</v>
      </c>
      <c r="U26" s="152">
        <f t="shared" si="0"/>
        <v>27.291730315335787</v>
      </c>
      <c r="V26" s="152">
        <f t="shared" si="1"/>
        <v>4.026728590005573</v>
      </c>
      <c r="W26" s="152">
        <f t="shared" si="2"/>
        <v>9.623874469638455</v>
      </c>
      <c r="X26" s="152">
        <f>G26/(AA26*1000)*100</f>
        <v>9.623874469638455</v>
      </c>
      <c r="Y26" s="152">
        <f t="shared" si="8"/>
        <v>74.07972546405533</v>
      </c>
      <c r="Z26" s="153">
        <f>G26/T26*100</f>
        <v>12.991239383450623</v>
      </c>
      <c r="AA26" s="58">
        <f>AB26</f>
        <v>70883.25</v>
      </c>
      <c r="AB26" s="58">
        <f t="shared" si="3"/>
        <v>70883.25</v>
      </c>
      <c r="AC26" s="538">
        <v>17053.25</v>
      </c>
      <c r="AD26" s="538">
        <v>53830</v>
      </c>
      <c r="AE26" s="58">
        <v>13205444.173387725</v>
      </c>
      <c r="AF26" s="58">
        <v>43267678.32289427</v>
      </c>
      <c r="AG26" s="58">
        <f t="shared" si="4"/>
        <v>56473122.496282</v>
      </c>
    </row>
    <row r="27" spans="1:35" ht="14.25">
      <c r="A27" s="5">
        <v>20</v>
      </c>
      <c r="B27" s="6" t="s">
        <v>40</v>
      </c>
      <c r="C27" s="60">
        <f>'Anne-8'!R28+'Anne-7'!Q28+'Anne-7'!T28+'Anne-6'!AC28</f>
        <v>8299855</v>
      </c>
      <c r="D27" s="60">
        <f>'Anne-8'!S28+'Anne-7'!R28+'Anne-7'!U28+'Anne-6'!AD28</f>
        <v>1468092</v>
      </c>
      <c r="E27" s="58">
        <f t="shared" si="5"/>
        <v>9767947</v>
      </c>
      <c r="F27" s="58"/>
      <c r="G27" s="58">
        <f>E27</f>
        <v>9767947</v>
      </c>
      <c r="H27" s="58">
        <f>'Anne-6'!G28+'Anne-8'!H28</f>
        <v>10471853</v>
      </c>
      <c r="I27" s="58">
        <f>'Anne-6'!S28+'Anne-7'!I28+'Anne-8'!I28</f>
        <v>6253570</v>
      </c>
      <c r="J27" s="58">
        <f>'Anne-6'!I28+'Anne-8'!M28</f>
        <v>10734143</v>
      </c>
      <c r="K27" s="58">
        <f>'Anne-7'!J28+'Anne-8'!J28</f>
        <v>4018115</v>
      </c>
      <c r="L27" s="58">
        <f>'Anne-6'!N28</f>
        <v>2633971</v>
      </c>
      <c r="M27" s="58">
        <f>'Anne-6'!K28</f>
        <v>18180215</v>
      </c>
      <c r="N27" s="217">
        <f>'Anne-6'!X28</f>
        <v>0</v>
      </c>
      <c r="O27" s="58"/>
      <c r="P27" s="58">
        <f>'Anne-7'!L28+'Anne-8'!L28</f>
        <v>1069983</v>
      </c>
      <c r="Q27" s="58">
        <f>'Anne-4'!O27</f>
        <v>0</v>
      </c>
      <c r="R27" s="58">
        <f>'Anne-6'!W28</f>
        <v>0</v>
      </c>
      <c r="S27" s="58">
        <f t="shared" si="6"/>
        <v>53361850</v>
      </c>
      <c r="T27" s="58">
        <f t="shared" si="7"/>
        <v>63129797</v>
      </c>
      <c r="U27" s="152">
        <f t="shared" si="0"/>
        <v>29.189624920060364</v>
      </c>
      <c r="V27" s="152">
        <f t="shared" si="1"/>
        <v>4.80104648405883</v>
      </c>
      <c r="W27" s="152">
        <f t="shared" si="2"/>
        <v>16.55223810963027</v>
      </c>
      <c r="X27" s="152">
        <f>G27/(AA27*1000)*100</f>
        <v>16.55223810963027</v>
      </c>
      <c r="Y27" s="152">
        <f t="shared" si="8"/>
        <v>106.97636174281276</v>
      </c>
      <c r="Z27" s="153">
        <f>G27/T27*100</f>
        <v>15.472799635329098</v>
      </c>
      <c r="AA27" s="58">
        <f>AB27</f>
        <v>59012.84729777361</v>
      </c>
      <c r="AB27" s="58">
        <f t="shared" si="3"/>
        <v>59012.84729777361</v>
      </c>
      <c r="AC27" s="538">
        <v>28434.263964440266</v>
      </c>
      <c r="AD27" s="538">
        <v>30578.583333333347</v>
      </c>
      <c r="AE27" s="58">
        <v>21465162.047406718</v>
      </c>
      <c r="AF27" s="58">
        <v>31120827.47722959</v>
      </c>
      <c r="AG27" s="58">
        <f t="shared" si="4"/>
        <v>52585989.52463631</v>
      </c>
      <c r="AI27">
        <v>1133925</v>
      </c>
    </row>
    <row r="28" spans="1:34" ht="14.25">
      <c r="A28" s="5">
        <v>21</v>
      </c>
      <c r="B28" s="6" t="s">
        <v>41</v>
      </c>
      <c r="C28" s="60">
        <f>'Anne-8'!R29+'Anne-7'!Q29+'Anne-7'!T29+'Anne-6'!AC29</f>
        <v>686481</v>
      </c>
      <c r="D28" s="60">
        <f>'Anne-8'!S29+'Anne-7'!R29+'Anne-7'!U29+'Anne-6'!AD29</f>
        <v>422334</v>
      </c>
      <c r="E28" s="58">
        <f t="shared" si="5"/>
        <v>1108815</v>
      </c>
      <c r="F28" s="58"/>
      <c r="G28" s="428" t="s">
        <v>205</v>
      </c>
      <c r="H28" s="428" t="s">
        <v>205</v>
      </c>
      <c r="I28" s="428" t="s">
        <v>205</v>
      </c>
      <c r="J28" s="428" t="s">
        <v>205</v>
      </c>
      <c r="K28" s="428" t="s">
        <v>205</v>
      </c>
      <c r="L28" s="428" t="s">
        <v>205</v>
      </c>
      <c r="M28" s="428" t="s">
        <v>205</v>
      </c>
      <c r="N28" s="428" t="s">
        <v>205</v>
      </c>
      <c r="O28" s="428" t="s">
        <v>205</v>
      </c>
      <c r="P28" s="428" t="s">
        <v>205</v>
      </c>
      <c r="Q28" s="428" t="s">
        <v>205</v>
      </c>
      <c r="R28" s="428" t="s">
        <v>205</v>
      </c>
      <c r="S28" s="428" t="s">
        <v>205</v>
      </c>
      <c r="T28" s="428" t="s">
        <v>205</v>
      </c>
      <c r="U28" s="152">
        <f t="shared" si="0"/>
        <v>22.892062942922657</v>
      </c>
      <c r="V28" s="152">
        <f t="shared" si="1"/>
        <v>5.611778921257369</v>
      </c>
      <c r="W28" s="152">
        <f t="shared" si="2"/>
        <v>10.535437908617995</v>
      </c>
      <c r="X28" s="152"/>
      <c r="Y28" s="152"/>
      <c r="Z28" s="153"/>
      <c r="AA28" s="58"/>
      <c r="AB28" s="58">
        <f t="shared" si="3"/>
        <v>10524.621848826888</v>
      </c>
      <c r="AC28" s="538">
        <v>2998.772988313111</v>
      </c>
      <c r="AD28" s="538">
        <v>7525.848860513776</v>
      </c>
      <c r="AE28" s="58">
        <v>2170244.7224881384</v>
      </c>
      <c r="AF28" s="58">
        <v>6309317.326735535</v>
      </c>
      <c r="AG28" s="58">
        <f t="shared" si="4"/>
        <v>8479562.049223673</v>
      </c>
      <c r="AH28">
        <v>540493</v>
      </c>
    </row>
    <row r="29" spans="1:35" ht="14.25">
      <c r="A29" s="5">
        <v>22</v>
      </c>
      <c r="B29" s="6" t="s">
        <v>42</v>
      </c>
      <c r="C29" s="60">
        <f>'Anne-8'!R30+'Anne-7'!Q30+'Anne-7'!T30+'Anne-6'!AC30</f>
        <v>7801919</v>
      </c>
      <c r="D29" s="60">
        <f>'Anne-8'!S30+'Anne-7'!R30+'Anne-7'!U30+'Anne-6'!AD30</f>
        <v>3276231</v>
      </c>
      <c r="E29" s="58">
        <f t="shared" si="5"/>
        <v>11078150</v>
      </c>
      <c r="F29" s="58"/>
      <c r="G29" s="58">
        <f>E29</f>
        <v>11078150</v>
      </c>
      <c r="H29" s="58">
        <f>'Anne-6'!G30+'Anne-8'!H30</f>
        <v>16262335</v>
      </c>
      <c r="I29" s="58">
        <f>'Anne-6'!S30+'Anne-7'!I30+'Anne-8'!I30</f>
        <v>8698664</v>
      </c>
      <c r="J29" s="58">
        <f>'Anne-6'!I30+'Anne-8'!M30</f>
        <v>15167774</v>
      </c>
      <c r="K29" s="58">
        <f>'Anne-7'!J30+'Anne-8'!J30</f>
        <v>4204763</v>
      </c>
      <c r="L29" s="58">
        <f>'Anne-6'!N30</f>
        <v>7687655</v>
      </c>
      <c r="M29" s="58">
        <f>'Anne-6'!K30</f>
        <v>5160078</v>
      </c>
      <c r="N29" s="217">
        <f>'Anne-6'!X30</f>
        <v>0</v>
      </c>
      <c r="O29" s="58"/>
      <c r="P29" s="58">
        <f>'Anne-7'!L30+'Anne-8'!L30</f>
        <v>0</v>
      </c>
      <c r="Q29" s="58">
        <f>'Anne-4'!O29</f>
        <v>7964835</v>
      </c>
      <c r="R29" s="58">
        <f>'Anne-6'!W30</f>
        <v>0</v>
      </c>
      <c r="S29" s="58">
        <f t="shared" si="6"/>
        <v>65146104</v>
      </c>
      <c r="T29" s="58">
        <f t="shared" si="7"/>
        <v>76224254</v>
      </c>
      <c r="U29" s="152">
        <f t="shared" si="0"/>
        <v>31.30899593613336</v>
      </c>
      <c r="V29" s="152">
        <f t="shared" si="1"/>
        <v>2.7381561086256143</v>
      </c>
      <c r="W29" s="152">
        <f t="shared" si="2"/>
        <v>7.662822886296154</v>
      </c>
      <c r="X29" s="152">
        <f aca="true" t="shared" si="9" ref="X29:X37">G29/(AA29*1000)*100</f>
        <v>7.662822886296154</v>
      </c>
      <c r="Y29" s="152">
        <f t="shared" si="8"/>
        <v>52.72477426664661</v>
      </c>
      <c r="Z29" s="153">
        <f aca="true" t="shared" si="10" ref="Z29:Z34">G29/T29*100</f>
        <v>14.53362862691972</v>
      </c>
      <c r="AA29" s="58">
        <f>AB29</f>
        <v>144570.09074047193</v>
      </c>
      <c r="AB29" s="58">
        <f t="shared" si="3"/>
        <v>144570.09074047193</v>
      </c>
      <c r="AC29" s="538">
        <v>24919.09678584069</v>
      </c>
      <c r="AD29" s="538">
        <v>119650.99395463125</v>
      </c>
      <c r="AE29" s="60">
        <v>18305425.424703386</v>
      </c>
      <c r="AF29" s="60">
        <v>96103124.17518596</v>
      </c>
      <c r="AG29" s="60">
        <f t="shared" si="4"/>
        <v>114408549.59988935</v>
      </c>
      <c r="AH29">
        <v>1027015247</v>
      </c>
      <c r="AI29" s="73">
        <f>AH28/AH29*AI27</f>
        <v>596.756987605852</v>
      </c>
    </row>
    <row r="30" spans="1:35" ht="14.25">
      <c r="A30" s="5">
        <v>23</v>
      </c>
      <c r="B30" s="6" t="s">
        <v>43</v>
      </c>
      <c r="C30" s="60">
        <f>'Anne-8'!R31+'Anne-7'!Q31+'Anne-7'!T31+'Anne-6'!AC31</f>
        <v>2900601</v>
      </c>
      <c r="D30" s="60">
        <f>'Anne-8'!S31+'Anne-7'!R31+'Anne-7'!U31+'Anne-6'!AD31</f>
        <v>893308</v>
      </c>
      <c r="E30" s="58">
        <f t="shared" si="5"/>
        <v>3793909</v>
      </c>
      <c r="F30" s="58"/>
      <c r="G30" s="58">
        <f>E30+E28</f>
        <v>4902724</v>
      </c>
      <c r="H30" s="58">
        <f>'Anne-6'!G31+'Anne-8'!H31</f>
        <v>6811005</v>
      </c>
      <c r="I30" s="58">
        <f>'Anne-6'!S31+'Anne-7'!I31+'Anne-8'!I31</f>
        <v>5946270</v>
      </c>
      <c r="J30" s="58">
        <f>'Anne-6'!I31+'Anne-8'!M31</f>
        <v>9650406</v>
      </c>
      <c r="K30" s="58">
        <f>'Anne-7'!J31+'Anne-8'!J31</f>
        <v>3625024</v>
      </c>
      <c r="L30" s="58">
        <f>'Anne-6'!N31</f>
        <v>11325435</v>
      </c>
      <c r="M30" s="58">
        <f>'Anne-6'!K31</f>
        <v>109150</v>
      </c>
      <c r="N30" s="217">
        <f>'Anne-6'!X31</f>
        <v>0</v>
      </c>
      <c r="O30" s="58"/>
      <c r="P30" s="58">
        <f>'Anne-7'!L31+'Anne-8'!L31</f>
        <v>262251</v>
      </c>
      <c r="Q30" s="58">
        <f>'Anne-4'!O30</f>
        <v>5585433</v>
      </c>
      <c r="R30" s="58">
        <f>'Anne-6'!W31</f>
        <v>0</v>
      </c>
      <c r="S30" s="58">
        <f t="shared" si="6"/>
        <v>43314974</v>
      </c>
      <c r="T30" s="58">
        <f t="shared" si="7"/>
        <v>48217698</v>
      </c>
      <c r="U30" s="152">
        <f t="shared" si="0"/>
        <v>13.147023082029738</v>
      </c>
      <c r="V30" s="152">
        <f t="shared" si="1"/>
        <v>2.02471626802509</v>
      </c>
      <c r="W30" s="152">
        <f t="shared" si="2"/>
        <v>5.73245642006992</v>
      </c>
      <c r="X30" s="152">
        <f t="shared" si="9"/>
        <v>6.391446921380001</v>
      </c>
      <c r="Y30" s="152">
        <f t="shared" si="8"/>
        <v>62.85910800569858</v>
      </c>
      <c r="Z30" s="153">
        <f t="shared" si="10"/>
        <v>10.167893125051304</v>
      </c>
      <c r="AA30" s="58">
        <f>AB30+AB28</f>
        <v>76707.57592619474</v>
      </c>
      <c r="AB30" s="58">
        <f t="shared" si="3"/>
        <v>66182.95407736785</v>
      </c>
      <c r="AC30" s="538">
        <v>22062.79689251282</v>
      </c>
      <c r="AD30" s="538">
        <v>44120.15718485502</v>
      </c>
      <c r="AE30" s="60">
        <v>16207203.922645923</v>
      </c>
      <c r="AF30" s="60">
        <v>35437105.906304315</v>
      </c>
      <c r="AG30" s="60">
        <f t="shared" si="4"/>
        <v>51644309.82895024</v>
      </c>
      <c r="AI30">
        <f>30849+754+52382</f>
        <v>83985</v>
      </c>
    </row>
    <row r="31" spans="1:35" ht="14.25">
      <c r="A31" s="5">
        <v>24</v>
      </c>
      <c r="B31" s="6" t="s">
        <v>44</v>
      </c>
      <c r="C31" s="60">
        <f>'Anne-8'!R32+'Anne-7'!Q32+'Anne-7'!T32+'Anne-6'!AC32</f>
        <v>1210828</v>
      </c>
      <c r="D31" s="60">
        <f>'Anne-8'!S32+'Anne-7'!R32+'Anne-7'!U32+'Anne-6'!AD32</f>
        <v>1116541</v>
      </c>
      <c r="E31" s="58">
        <f t="shared" si="5"/>
        <v>2327369</v>
      </c>
      <c r="F31" s="58"/>
      <c r="G31" s="58">
        <f>E31+E8</f>
        <v>2569861</v>
      </c>
      <c r="H31" s="58">
        <f>'Anne-6'!G32+'Anne-8'!H32</f>
        <v>10106257</v>
      </c>
      <c r="I31" s="58">
        <f>'Anne-6'!S32+'Anne-7'!I32+'Anne-8'!I32</f>
        <v>7317300</v>
      </c>
      <c r="J31" s="58">
        <f>'Anne-6'!I32+'Anne-8'!M32</f>
        <v>12475210</v>
      </c>
      <c r="K31" s="58">
        <f>'Anne-7'!J32+'Anne-8'!J32</f>
        <v>1234477</v>
      </c>
      <c r="L31" s="58">
        <f>'Anne-6'!N32</f>
        <v>2817511</v>
      </c>
      <c r="M31" s="58">
        <f>'Anne-6'!K32</f>
        <v>3439593</v>
      </c>
      <c r="N31" s="217">
        <f>'Anne-6'!X32</f>
        <v>0</v>
      </c>
      <c r="O31" s="58"/>
      <c r="P31" s="58">
        <f>'Anne-7'!L32+'Anne-8'!L32</f>
        <v>1735327</v>
      </c>
      <c r="Q31" s="58">
        <f>'Anne-4'!O31</f>
        <v>0</v>
      </c>
      <c r="R31" s="58">
        <f>'Anne-6'!W32</f>
        <v>0</v>
      </c>
      <c r="S31" s="58">
        <f t="shared" si="6"/>
        <v>39125675</v>
      </c>
      <c r="T31" s="58">
        <f t="shared" si="7"/>
        <v>41695536</v>
      </c>
      <c r="U31" s="152">
        <f t="shared" si="0"/>
        <v>11.213061632074604</v>
      </c>
      <c r="V31" s="152">
        <f t="shared" si="1"/>
        <v>1.6823304670512302</v>
      </c>
      <c r="W31" s="152">
        <f t="shared" si="2"/>
        <v>3.016012813328421</v>
      </c>
      <c r="X31" s="152">
        <f t="shared" si="9"/>
        <v>3.309377143376671</v>
      </c>
      <c r="Y31" s="152">
        <f t="shared" si="8"/>
        <v>53.69405342127032</v>
      </c>
      <c r="Z31" s="153">
        <f t="shared" si="10"/>
        <v>6.1633960047905365</v>
      </c>
      <c r="AA31" s="58">
        <f>AB31+AB8</f>
        <v>77653.91760027334</v>
      </c>
      <c r="AB31" s="58">
        <f t="shared" si="3"/>
        <v>77167.07932124315</v>
      </c>
      <c r="AC31" s="538">
        <v>10798.37104022032</v>
      </c>
      <c r="AD31" s="538">
        <v>66368.70828102283</v>
      </c>
      <c r="AE31" s="58">
        <v>9329940.33700887</v>
      </c>
      <c r="AF31" s="58">
        <v>58215178.05927157</v>
      </c>
      <c r="AG31" s="58">
        <f t="shared" si="4"/>
        <v>67545118.39628044</v>
      </c>
      <c r="AI31" s="72">
        <f>AI30/(AI29*1000)</f>
        <v>0.14073567925353003</v>
      </c>
    </row>
    <row r="32" spans="1:33" ht="14.25">
      <c r="A32" s="5">
        <v>25</v>
      </c>
      <c r="B32" s="6" t="s">
        <v>45</v>
      </c>
      <c r="C32" s="60">
        <f>'Anne-8'!R33+'Anne-7'!Q33+'Anne-7'!T33+'Anne-6'!AC33</f>
        <v>1722474</v>
      </c>
      <c r="D32" s="60">
        <f>'Anne-8'!S33+'Anne-7'!R33+'Anne-7'!U33+'Anne-6'!AD33</f>
        <v>0</v>
      </c>
      <c r="E32" s="58">
        <f t="shared" si="5"/>
        <v>1722474</v>
      </c>
      <c r="F32" s="58"/>
      <c r="G32" s="58">
        <f>E32</f>
        <v>1722474</v>
      </c>
      <c r="H32" s="58">
        <f>'Anne-6'!G33+'Anne-8'!H33</f>
        <v>3946982</v>
      </c>
      <c r="I32" s="58">
        <f>'Anne-6'!S33+'Anne-7'!I33+'Anne-8'!I33</f>
        <v>3945441</v>
      </c>
      <c r="J32" s="58">
        <f>'Anne-6'!I33+'Anne-8'!M33</f>
        <v>4529015</v>
      </c>
      <c r="K32" s="58">
        <f>'Anne-7'!J33+'Anne-8'!J33</f>
        <v>2915349</v>
      </c>
      <c r="L32" s="58">
        <f>'Anne-6'!N33</f>
        <v>1280909</v>
      </c>
      <c r="M32" s="58">
        <f>'Anne-6'!K33</f>
        <v>2804989</v>
      </c>
      <c r="N32" s="217">
        <f>'Anne-6'!X33</f>
        <v>0</v>
      </c>
      <c r="O32" s="58"/>
      <c r="P32" s="58">
        <f>'Anne-7'!L33+'Anne-8'!L33</f>
        <v>707942</v>
      </c>
      <c r="Q32" s="58">
        <f>'Anne-4'!O32</f>
        <v>0</v>
      </c>
      <c r="R32" s="58">
        <f>'Anne-6'!W33</f>
        <v>0</v>
      </c>
      <c r="S32" s="58">
        <f t="shared" si="6"/>
        <v>20130627</v>
      </c>
      <c r="T32" s="58">
        <f t="shared" si="7"/>
        <v>21853101</v>
      </c>
      <c r="U32" s="152">
        <f>C32/(AC32*1000)*100</f>
        <v>11.21094060602022</v>
      </c>
      <c r="V32" s="152"/>
      <c r="W32" s="152">
        <f t="shared" si="2"/>
        <v>11.21094060602022</v>
      </c>
      <c r="X32" s="152">
        <f t="shared" si="9"/>
        <v>11.21094060602022</v>
      </c>
      <c r="Y32" s="152">
        <f t="shared" si="8"/>
        <v>142.23368095446494</v>
      </c>
      <c r="Z32" s="153">
        <f t="shared" si="10"/>
        <v>7.882057562448459</v>
      </c>
      <c r="AA32" s="58">
        <f>AB32</f>
        <v>15364.223757237996</v>
      </c>
      <c r="AB32" s="58">
        <f t="shared" si="3"/>
        <v>15364.223757237996</v>
      </c>
      <c r="AC32" s="538">
        <v>15364.223757237996</v>
      </c>
      <c r="AD32" s="538">
        <v>0</v>
      </c>
      <c r="AE32" s="58">
        <v>13216546.058361439</v>
      </c>
      <c r="AF32" s="58">
        <v>0</v>
      </c>
      <c r="AG32" s="58">
        <f t="shared" si="4"/>
        <v>13216546.058361439</v>
      </c>
    </row>
    <row r="33" spans="1:33" ht="14.25">
      <c r="A33" s="5">
        <v>26</v>
      </c>
      <c r="B33" s="6" t="s">
        <v>46</v>
      </c>
      <c r="C33" s="60">
        <f>'Anne-8'!R34+'Anne-7'!Q34+'Anne-7'!T34+'Anne-6'!AC34</f>
        <v>2009907</v>
      </c>
      <c r="D33" s="60">
        <f>'Anne-8'!S34+'Anne-7'!R34+'Anne-7'!U34+'Anne-6'!AD34</f>
        <v>205558</v>
      </c>
      <c r="E33" s="58">
        <f t="shared" si="5"/>
        <v>2215465</v>
      </c>
      <c r="F33" s="58"/>
      <c r="G33" s="58">
        <f>E33</f>
        <v>2215465</v>
      </c>
      <c r="H33" s="58">
        <f>'Anne-6'!G34+'Anne-8'!H34</f>
        <v>4284508</v>
      </c>
      <c r="I33" s="58">
        <f>'Anne-6'!S34+'Anne-7'!I34+'Anne-8'!I34</f>
        <v>0</v>
      </c>
      <c r="J33" s="58">
        <f>'Anne-6'!I34+'Anne-8'!M34</f>
        <v>2201316</v>
      </c>
      <c r="K33" s="58">
        <f>'Anne-7'!J34+'Anne-8'!J34</f>
        <v>1509734</v>
      </c>
      <c r="L33" s="58">
        <f>'Anne-6'!N34</f>
        <v>0</v>
      </c>
      <c r="M33" s="58">
        <f>'Anne-6'!K34</f>
        <v>4252526</v>
      </c>
      <c r="N33" s="217">
        <f>'Anne-6'!X34</f>
        <v>0</v>
      </c>
      <c r="O33" s="58"/>
      <c r="P33" s="58">
        <f>'Anne-7'!L34+'Anne-8'!L34</f>
        <v>0</v>
      </c>
      <c r="Q33" s="58">
        <f>'Anne-4'!O33</f>
        <v>0</v>
      </c>
      <c r="R33" s="58">
        <f>'Anne-6'!W34</f>
        <v>0</v>
      </c>
      <c r="S33" s="58">
        <f t="shared" si="6"/>
        <v>12248084</v>
      </c>
      <c r="T33" s="58">
        <f t="shared" si="7"/>
        <v>14463549</v>
      </c>
      <c r="U33" s="152">
        <f>C33/(AC33*1000)*100</f>
        <v>17.983154783277165</v>
      </c>
      <c r="V33" s="152"/>
      <c r="W33" s="152">
        <f t="shared" si="2"/>
        <v>19.822335069201287</v>
      </c>
      <c r="X33" s="152">
        <f t="shared" si="9"/>
        <v>19.822335069201287</v>
      </c>
      <c r="Y33" s="152">
        <f t="shared" si="8"/>
        <v>129.40909225278267</v>
      </c>
      <c r="Z33" s="153">
        <f t="shared" si="10"/>
        <v>15.317575236893793</v>
      </c>
      <c r="AA33" s="58">
        <f>AB33</f>
        <v>11176.609578365225</v>
      </c>
      <c r="AB33" s="58">
        <f t="shared" si="3"/>
        <v>11176.609578365225</v>
      </c>
      <c r="AC33" s="538">
        <v>11176.609578365225</v>
      </c>
      <c r="AD33" s="538">
        <v>0</v>
      </c>
      <c r="AE33" s="58">
        <v>6424623.633861813</v>
      </c>
      <c r="AF33" s="61">
        <v>4074054.461012357</v>
      </c>
      <c r="AG33" s="58">
        <f t="shared" si="4"/>
        <v>10498678.09487417</v>
      </c>
    </row>
    <row r="34" spans="1:33" ht="15">
      <c r="A34" s="5"/>
      <c r="B34" s="7" t="s">
        <v>47</v>
      </c>
      <c r="C34" s="86">
        <f aca="true" t="shared" si="11" ref="C34:J34">SUM(C8:C33)</f>
        <v>74850736</v>
      </c>
      <c r="D34" s="86">
        <f t="shared" si="11"/>
        <v>38620706</v>
      </c>
      <c r="E34" s="58">
        <f t="shared" si="11"/>
        <v>113471442</v>
      </c>
      <c r="F34" s="58">
        <f>SUM(F8:F33)</f>
        <v>0</v>
      </c>
      <c r="G34" s="58">
        <f>SUM(G8:G33)</f>
        <v>113471442</v>
      </c>
      <c r="H34" s="58">
        <f>'Anne-6'!G35+'Anne-8'!H35</f>
        <v>188252914</v>
      </c>
      <c r="I34" s="58">
        <f>'Anne-6'!S35+'Anne-7'!I35+'Anne-8'!I35</f>
        <v>104497570</v>
      </c>
      <c r="J34" s="58">
        <f t="shared" si="11"/>
        <v>145990673</v>
      </c>
      <c r="K34" s="58">
        <f>'Anne-7'!J35+'Anne-8'!J35</f>
        <v>57719816</v>
      </c>
      <c r="L34" s="58">
        <f>'Anne-6'!N35</f>
        <v>121485711</v>
      </c>
      <c r="M34" s="58">
        <f>'Anne-6'!K35</f>
        <v>62736503</v>
      </c>
      <c r="N34" s="217">
        <f>'Anne-6'!X35</f>
        <v>0</v>
      </c>
      <c r="O34" s="58">
        <f>'Anne-7'!K35+'Anne-8'!K35</f>
        <v>2233789</v>
      </c>
      <c r="P34" s="58">
        <f>SUM(P8:P33)</f>
        <v>8572625</v>
      </c>
      <c r="Q34" s="58">
        <f>'Anne-4'!O34</f>
        <v>33916364</v>
      </c>
      <c r="R34" s="58">
        <f>'Anne-6'!W35</f>
        <v>4233154</v>
      </c>
      <c r="S34" s="58">
        <f t="shared" si="6"/>
        <v>729639119</v>
      </c>
      <c r="T34" s="58">
        <f>SUM(T8:T33)</f>
        <v>843110561</v>
      </c>
      <c r="U34" s="155">
        <f>C34/(AC34*1000)*100</f>
        <v>22.337619080961776</v>
      </c>
      <c r="V34" s="155">
        <f>D34/(AD34*1000)*100</f>
        <v>4.487474603250071</v>
      </c>
      <c r="W34" s="155">
        <f t="shared" si="2"/>
        <v>9.48978481381258</v>
      </c>
      <c r="X34" s="155">
        <f t="shared" si="9"/>
        <v>9.48978481381258</v>
      </c>
      <c r="Y34" s="155">
        <f t="shared" si="8"/>
        <v>70.51058536951355</v>
      </c>
      <c r="Z34" s="155">
        <f t="shared" si="10"/>
        <v>13.458666899559807</v>
      </c>
      <c r="AA34" s="58">
        <f aca="true" t="shared" si="12" ref="AA34:AG34">SUM(AA8:AA33)</f>
        <v>1195721.9707957967</v>
      </c>
      <c r="AB34" s="58">
        <f t="shared" si="12"/>
        <v>1195721.9707957967</v>
      </c>
      <c r="AC34" s="538">
        <v>335088.2461049524</v>
      </c>
      <c r="AD34" s="538">
        <v>860633.416666666</v>
      </c>
      <c r="AE34" s="36">
        <f t="shared" si="12"/>
        <v>255905193.08587155</v>
      </c>
      <c r="AF34" s="36">
        <f t="shared" si="12"/>
        <v>740697077.7409049</v>
      </c>
      <c r="AG34" s="36">
        <f t="shared" si="12"/>
        <v>996602270.8267765</v>
      </c>
    </row>
    <row r="35" spans="1:33" ht="14.25">
      <c r="A35" s="4">
        <v>27</v>
      </c>
      <c r="B35" s="3" t="s">
        <v>48</v>
      </c>
      <c r="C35" s="58"/>
      <c r="D35" s="58"/>
      <c r="E35" s="58"/>
      <c r="F35" s="58">
        <f>'Anne-8'!E36+'Anne-7'!G36+'Anne-6'!E36</f>
        <v>4051587</v>
      </c>
      <c r="G35" s="87">
        <f>F35</f>
        <v>4051587</v>
      </c>
      <c r="H35" s="58">
        <f>'Anne-6'!G36+'Anne-8'!H36</f>
        <v>11218561</v>
      </c>
      <c r="I35" s="58">
        <f>'Anne-6'!S36+'Anne-7'!I36+'Anne-8'!I36</f>
        <v>8063723</v>
      </c>
      <c r="J35" s="58">
        <f>'Anne-6'!I36+'Anne-8'!M36</f>
        <v>9121532</v>
      </c>
      <c r="K35" s="58">
        <f>'Anne-7'!J36+'Anne-8'!J36</f>
        <v>2995295</v>
      </c>
      <c r="L35" s="58">
        <f>'Anne-6'!N36</f>
        <v>5376543</v>
      </c>
      <c r="M35" s="58">
        <f>'Anne-6'!K36</f>
        <v>3778488</v>
      </c>
      <c r="N35" s="217">
        <f>'Anne-6'!X36</f>
        <v>0</v>
      </c>
      <c r="O35" s="58">
        <f>'Anne-7'!K36+'Anne-8'!K36</f>
        <v>0</v>
      </c>
      <c r="P35" s="58">
        <f>'Anne-7'!L36+'Anne-8'!L36</f>
        <v>934013</v>
      </c>
      <c r="Q35" s="58">
        <f>'Anne-4'!O35</f>
        <v>0</v>
      </c>
      <c r="R35" s="58">
        <f>'Anne-6'!W36</f>
        <v>0</v>
      </c>
      <c r="S35" s="58">
        <f t="shared" si="6"/>
        <v>41488155</v>
      </c>
      <c r="T35" s="58">
        <f>G35+S35</f>
        <v>45539742</v>
      </c>
      <c r="U35" s="152"/>
      <c r="V35" s="152"/>
      <c r="W35" s="152"/>
      <c r="X35" s="152">
        <f t="shared" si="9"/>
        <v>20.212372942658437</v>
      </c>
      <c r="Y35" s="152">
        <f t="shared" si="8"/>
        <v>227.18659355369786</v>
      </c>
      <c r="Z35" s="153"/>
      <c r="AA35" s="58">
        <f>AB35</f>
        <v>20045.08333333332</v>
      </c>
      <c r="AB35" s="58">
        <f>AC35+AD35</f>
        <v>20045.08333333332</v>
      </c>
      <c r="AC35" s="538">
        <v>19233.166666666653</v>
      </c>
      <c r="AD35" s="538">
        <v>811.9166666666671</v>
      </c>
      <c r="AE35" s="58">
        <f>'Anne-4'!AB35</f>
        <v>0</v>
      </c>
      <c r="AF35" s="58">
        <f>'Anne-4'!AC35</f>
        <v>17607.999999999985</v>
      </c>
      <c r="AG35" s="58">
        <f>'Anne-4'!AD35</f>
        <v>842.9999999999995</v>
      </c>
    </row>
    <row r="36" spans="1:33" ht="14.25">
      <c r="A36" s="4">
        <v>28</v>
      </c>
      <c r="B36" s="3" t="s">
        <v>49</v>
      </c>
      <c r="C36" s="58"/>
      <c r="D36" s="88"/>
      <c r="E36" s="58"/>
      <c r="F36" s="58">
        <f>'Anne-8'!E37+'Anne-7'!G37+'Anne-6'!E37</f>
        <v>2981596</v>
      </c>
      <c r="G36" s="87">
        <f>F36</f>
        <v>2981596</v>
      </c>
      <c r="H36" s="58">
        <f>'Anne-6'!G37+'Anne-8'!H37</f>
        <v>4723567</v>
      </c>
      <c r="I36" s="58">
        <f>'Anne-6'!S37+'Anne-7'!I37+'Anne-8'!I37</f>
        <v>6326649</v>
      </c>
      <c r="J36" s="58">
        <f>'Anne-6'!I37+'Anne-8'!M37</f>
        <v>7120791</v>
      </c>
      <c r="K36" s="58">
        <f>'Anne-7'!J37+'Anne-8'!J37</f>
        <v>3987842</v>
      </c>
      <c r="L36" s="58">
        <f>'Anne-6'!N37</f>
        <v>3355450</v>
      </c>
      <c r="M36" s="58">
        <f>'Anne-6'!K37</f>
        <v>1929080</v>
      </c>
      <c r="N36" s="217">
        <f>'Anne-6'!X37</f>
        <v>2979460</v>
      </c>
      <c r="O36" s="58">
        <f>'Anne-7'!K37+'Anne-8'!K37</f>
        <v>0</v>
      </c>
      <c r="P36" s="58">
        <f>'Anne-7'!L37+'Anne-8'!L37</f>
        <v>0</v>
      </c>
      <c r="Q36" s="58">
        <f>'Anne-4'!O36</f>
        <v>0</v>
      </c>
      <c r="R36" s="58">
        <f>'Anne-6'!W37</f>
        <v>0</v>
      </c>
      <c r="S36" s="58">
        <f t="shared" si="6"/>
        <v>30422839</v>
      </c>
      <c r="T36" s="58">
        <f>G36+S36</f>
        <v>33404435</v>
      </c>
      <c r="U36" s="152"/>
      <c r="V36" s="152"/>
      <c r="W36" s="152"/>
      <c r="X36" s="152">
        <f t="shared" si="9"/>
        <v>13.650197912263042</v>
      </c>
      <c r="Y36" s="152">
        <f t="shared" si="8"/>
        <v>152.93056098053745</v>
      </c>
      <c r="Z36" s="153"/>
      <c r="AA36" s="58">
        <f>AB36</f>
        <v>21842.877437853105</v>
      </c>
      <c r="AB36" s="58">
        <f>AC36+AD36</f>
        <v>21842.877437853105</v>
      </c>
      <c r="AC36" s="538">
        <v>21842.877437853105</v>
      </c>
      <c r="AD36" s="538">
        <v>0</v>
      </c>
      <c r="AE36" s="58">
        <v>6424623.633861813</v>
      </c>
      <c r="AF36" s="61">
        <v>4074054.461012357</v>
      </c>
      <c r="AG36" s="66">
        <v>16629998.819593966</v>
      </c>
    </row>
    <row r="37" spans="1:33" ht="15">
      <c r="A37" s="4"/>
      <c r="B37" s="3" t="s">
        <v>50</v>
      </c>
      <c r="C37" s="58">
        <f aca="true" t="shared" si="13" ref="C37:J37">SUM(C34:C36)</f>
        <v>74850736</v>
      </c>
      <c r="D37" s="58">
        <f t="shared" si="13"/>
        <v>38620706</v>
      </c>
      <c r="E37" s="58">
        <f t="shared" si="13"/>
        <v>113471442</v>
      </c>
      <c r="F37" s="58">
        <f t="shared" si="13"/>
        <v>7033183</v>
      </c>
      <c r="G37" s="58">
        <f>SUM(G34:G36)</f>
        <v>120504625</v>
      </c>
      <c r="H37" s="58">
        <f t="shared" si="13"/>
        <v>204195042</v>
      </c>
      <c r="I37" s="58">
        <f t="shared" si="13"/>
        <v>118887942</v>
      </c>
      <c r="J37" s="58">
        <f t="shared" si="13"/>
        <v>162232996</v>
      </c>
      <c r="K37" s="58">
        <f>'Anne-7'!J38+'Anne-8'!J38</f>
        <v>64702953</v>
      </c>
      <c r="L37" s="58">
        <f>SUM(L34:L36)</f>
        <v>130217704</v>
      </c>
      <c r="M37" s="58">
        <f>SUM(M34:M36)</f>
        <v>68444071</v>
      </c>
      <c r="N37" s="217">
        <f>'Anne-6'!X38</f>
        <v>2979460</v>
      </c>
      <c r="O37" s="58">
        <f>SUM(O34:O36)</f>
        <v>2233789</v>
      </c>
      <c r="P37" s="58">
        <f>SUM(P34:P36)</f>
        <v>9506638</v>
      </c>
      <c r="Q37" s="58">
        <f>'Anne-4'!O37</f>
        <v>33916364</v>
      </c>
      <c r="R37" s="58">
        <f>'Anne-6'!W38</f>
        <v>4233154</v>
      </c>
      <c r="S37" s="58">
        <f t="shared" si="6"/>
        <v>801550113</v>
      </c>
      <c r="T37" s="58">
        <f>SUM(T34:T36)</f>
        <v>922054738</v>
      </c>
      <c r="U37" s="155">
        <f>C34/(AC34*1000)*100</f>
        <v>22.337619080961776</v>
      </c>
      <c r="V37" s="155">
        <f>D34/(AD34*1000)*100</f>
        <v>4.487474603250071</v>
      </c>
      <c r="W37" s="155">
        <f>E34/(AB34*1000)*100</f>
        <v>9.48978481381258</v>
      </c>
      <c r="X37" s="155">
        <f t="shared" si="9"/>
        <v>9.73688251252353</v>
      </c>
      <c r="Y37" s="155">
        <f t="shared" si="8"/>
        <v>74.50285542170407</v>
      </c>
      <c r="Z37" s="155">
        <f>G34/T37*100</f>
        <v>12.306367216997046</v>
      </c>
      <c r="AA37" s="66">
        <f aca="true" t="shared" si="14" ref="AA37:AG37">SUM(AA34:AA36)</f>
        <v>1237609.931566983</v>
      </c>
      <c r="AB37" s="58">
        <f t="shared" si="14"/>
        <v>1237609.931566983</v>
      </c>
      <c r="AC37" s="538">
        <v>376164.29020947195</v>
      </c>
      <c r="AD37" s="538">
        <v>861445.3333333331</v>
      </c>
      <c r="AE37" s="67">
        <f t="shared" si="14"/>
        <v>262329816.71973336</v>
      </c>
      <c r="AF37" s="67">
        <f t="shared" si="14"/>
        <v>744788740.2019173</v>
      </c>
      <c r="AG37" s="67">
        <f t="shared" si="14"/>
        <v>1013233112.6463704</v>
      </c>
    </row>
    <row r="38" spans="1:33" ht="14.25">
      <c r="A38" s="3"/>
      <c r="B38" s="3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36"/>
      <c r="P38" s="36"/>
      <c r="Q38" s="36"/>
      <c r="R38" s="36"/>
      <c r="S38" s="56"/>
      <c r="T38" s="56"/>
      <c r="U38" s="64"/>
      <c r="V38" s="64"/>
      <c r="W38" s="64"/>
      <c r="X38" s="64"/>
      <c r="Y38" s="68"/>
      <c r="Z38" s="68"/>
      <c r="AA38" s="69"/>
      <c r="AB38" s="69"/>
      <c r="AC38" s="64"/>
      <c r="AD38" s="64"/>
      <c r="AE38" s="69"/>
      <c r="AF38" s="69"/>
      <c r="AG38" s="69"/>
    </row>
    <row r="39" spans="1:33" ht="14.25">
      <c r="A39" s="3"/>
      <c r="B39" s="3" t="s">
        <v>51</v>
      </c>
      <c r="C39" s="154">
        <f>C37/T37*100</f>
        <v>8.11781913971359</v>
      </c>
      <c r="D39" s="154">
        <f>D37/T37*100</f>
        <v>4.188548077283455</v>
      </c>
      <c r="E39" s="154">
        <f>E37/T37*100</f>
        <v>12.306367216997046</v>
      </c>
      <c r="F39" s="154">
        <f>F37/U37</f>
        <v>314858.22076688294</v>
      </c>
      <c r="G39" s="154">
        <f>G37/T37*100</f>
        <v>13.069140044915642</v>
      </c>
      <c r="H39" s="154">
        <f>H37/T37*100</f>
        <v>22.145652918926814</v>
      </c>
      <c r="I39" s="154">
        <f>I37/T37*100</f>
        <v>12.89380522656129</v>
      </c>
      <c r="J39" s="154">
        <f>J37/T37*100</f>
        <v>17.594725054164844</v>
      </c>
      <c r="K39" s="154">
        <f>K37/T37*100</f>
        <v>7.017257255284555</v>
      </c>
      <c r="L39" s="154">
        <f>L37/T37*100</f>
        <v>14.12255678903089</v>
      </c>
      <c r="M39" s="154">
        <f>M37/T37*100</f>
        <v>7.422994338542188</v>
      </c>
      <c r="N39" s="154">
        <f>N37/T37*100</f>
        <v>0.3231326598313082</v>
      </c>
      <c r="O39" s="154">
        <f>O37/T37*100</f>
        <v>0.24226208140801286</v>
      </c>
      <c r="P39" s="154">
        <f>P37/T37*100</f>
        <v>1.0310275093451122</v>
      </c>
      <c r="Q39" s="154">
        <f>Q37/T37*100</f>
        <v>3.678346046305984</v>
      </c>
      <c r="R39" s="154">
        <f>R37/T37*100</f>
        <v>0.45910007568335925</v>
      </c>
      <c r="S39" s="154">
        <f>S37/T37*100</f>
        <v>86.93085995508436</v>
      </c>
      <c r="T39" s="154">
        <f>T37/T37*100</f>
        <v>100</v>
      </c>
      <c r="U39" s="64"/>
      <c r="V39" s="64"/>
      <c r="W39" s="64"/>
      <c r="X39" s="64"/>
      <c r="Y39" s="68"/>
      <c r="Z39" s="68"/>
      <c r="AA39" s="69"/>
      <c r="AB39" s="69"/>
      <c r="AC39" s="65"/>
      <c r="AD39" s="65"/>
      <c r="AE39" s="69"/>
      <c r="AF39" s="69"/>
      <c r="AG39" s="69"/>
    </row>
    <row r="40" spans="1:33" ht="14.25">
      <c r="A40" s="101"/>
      <c r="B40" s="430"/>
      <c r="C40" s="429"/>
      <c r="D40" s="429"/>
      <c r="E40" s="429"/>
      <c r="F40" s="429"/>
      <c r="G40" s="429"/>
      <c r="H40" s="429"/>
      <c r="I40" s="429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64"/>
      <c r="V40" s="64"/>
      <c r="W40" s="64"/>
      <c r="X40" s="64"/>
      <c r="Y40" s="489"/>
      <c r="Z40" s="68"/>
      <c r="AA40" s="69"/>
      <c r="AB40" s="488"/>
      <c r="AC40" s="65"/>
      <c r="AD40" s="65"/>
      <c r="AE40" s="69"/>
      <c r="AF40" s="69"/>
      <c r="AG40" s="69"/>
    </row>
    <row r="41" spans="2:26" ht="14.25">
      <c r="B41" s="431" t="s">
        <v>207</v>
      </c>
      <c r="C41" s="81"/>
      <c r="D41" s="81"/>
      <c r="E41" s="81"/>
      <c r="Y41" s="32"/>
      <c r="Z41" s="32"/>
    </row>
    <row r="42" spans="2:33" ht="15">
      <c r="B42" s="26" t="s">
        <v>206</v>
      </c>
      <c r="AA42" s="269"/>
      <c r="AB42" s="42"/>
      <c r="AC42" s="42"/>
      <c r="AD42" s="42"/>
      <c r="AE42" s="42">
        <f>AE22+AE23+AE10</f>
        <v>5972077.622558512</v>
      </c>
      <c r="AF42" s="42">
        <f>AF22+AF23+AF10</f>
        <v>32523010.472636186</v>
      </c>
      <c r="AG42" s="42">
        <f>AG22+AG23+AG10</f>
        <v>38495088.0951947</v>
      </c>
    </row>
    <row r="43" spans="2:30" ht="15">
      <c r="B43" s="26" t="s">
        <v>78</v>
      </c>
      <c r="T43" s="81"/>
      <c r="Y43" s="484"/>
      <c r="Z43" s="23"/>
      <c r="AA43" s="42"/>
      <c r="AB43" s="42"/>
      <c r="AC43" s="157"/>
      <c r="AD43" s="157"/>
    </row>
    <row r="44" ht="15">
      <c r="B44" s="26" t="s">
        <v>74</v>
      </c>
    </row>
    <row r="45" spans="2:27" ht="15">
      <c r="B45" s="26" t="s">
        <v>73</v>
      </c>
      <c r="AA45" s="42"/>
    </row>
    <row r="46" spans="2:19" ht="15">
      <c r="B46" s="26" t="s">
        <v>77</v>
      </c>
      <c r="S46" s="81"/>
    </row>
    <row r="48" spans="5:21" ht="14.25">
      <c r="E48" s="81"/>
      <c r="T48" s="81"/>
      <c r="U48" s="81"/>
    </row>
    <row r="49" spans="5:20" ht="14.25"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</row>
    <row r="50" ht="14.25">
      <c r="D50" s="157">
        <f>D37/100000</f>
        <v>386.20706</v>
      </c>
    </row>
    <row r="51" spans="19:29" ht="14.25">
      <c r="S51" s="77">
        <v>3104575</v>
      </c>
      <c r="T51" s="301">
        <f>T10+T22</f>
        <v>24860439</v>
      </c>
      <c r="U51" s="78"/>
      <c r="V51" s="77"/>
      <c r="W51" s="77"/>
      <c r="AB51" s="81">
        <f>T10+T22</f>
        <v>24860439</v>
      </c>
      <c r="AC51" s="92">
        <f>AB51/(AB52*1000)*100</f>
        <v>54.89500687279533</v>
      </c>
    </row>
    <row r="52" spans="19:33" ht="14.25">
      <c r="S52" s="77"/>
      <c r="T52" s="301">
        <f>AB10+AB22+AB23</f>
        <v>45287.25</v>
      </c>
      <c r="U52" s="77"/>
      <c r="V52" s="77"/>
      <c r="W52" s="77"/>
      <c r="AB52" s="42">
        <f>AB10+AB22+AB23</f>
        <v>45287.25</v>
      </c>
      <c r="AC52">
        <f>AB52*1000</f>
        <v>45287250</v>
      </c>
      <c r="AG52" s="41" t="s">
        <v>94</v>
      </c>
    </row>
    <row r="53" spans="19:33" ht="15.75">
      <c r="S53" s="79"/>
      <c r="T53" s="302">
        <f>T51/(T52*1000)*100</f>
        <v>54.89500687279533</v>
      </c>
      <c r="U53" s="302">
        <f>S51/T51*100</f>
        <v>12.48801358656619</v>
      </c>
      <c r="V53" s="79"/>
      <c r="W53" s="77"/>
      <c r="AA53" s="43"/>
      <c r="AB53" s="470">
        <v>3514556</v>
      </c>
      <c r="AC53">
        <v>3514556</v>
      </c>
      <c r="AE53" s="41" t="s">
        <v>95</v>
      </c>
      <c r="AG53" s="43">
        <v>34582571</v>
      </c>
    </row>
    <row r="54" spans="4:33" ht="15">
      <c r="D54" s="92"/>
      <c r="E54" s="92"/>
      <c r="F54" s="92"/>
      <c r="G54" s="92"/>
      <c r="S54" s="79"/>
      <c r="T54" s="79"/>
      <c r="U54" s="79"/>
      <c r="V54" s="79"/>
      <c r="W54" s="77"/>
      <c r="AA54" s="44"/>
      <c r="AB54" s="41">
        <f>AB53/(AB52*1000)*100</f>
        <v>7.760586036908842</v>
      </c>
      <c r="AC54">
        <f>AC53/AC52*100</f>
        <v>7.760586036908842</v>
      </c>
      <c r="AE54" s="41">
        <v>14706583</v>
      </c>
      <c r="AG54" s="44">
        <f>AG53/AG37*100</f>
        <v>3.4130912786374465</v>
      </c>
    </row>
    <row r="55" spans="19:31" ht="14.25">
      <c r="S55" s="78"/>
      <c r="T55" s="78"/>
      <c r="U55" s="78"/>
      <c r="V55" s="78"/>
      <c r="W55" s="77"/>
      <c r="AE55" s="41">
        <v>-14768247</v>
      </c>
    </row>
    <row r="56" spans="2:31" ht="14.25">
      <c r="B56" s="95"/>
      <c r="C56" s="177" t="s">
        <v>87</v>
      </c>
      <c r="D56" s="177" t="s">
        <v>88</v>
      </c>
      <c r="E56" s="177" t="s">
        <v>47</v>
      </c>
      <c r="S56" s="92"/>
      <c r="AE56" s="41">
        <f>SUM(AE54:AE55)</f>
        <v>-61664</v>
      </c>
    </row>
    <row r="57" spans="2:5" ht="14.25">
      <c r="B57" s="177" t="s">
        <v>195</v>
      </c>
      <c r="C57" s="106">
        <f>C10+C22+C23</f>
        <v>2019446</v>
      </c>
      <c r="D57" s="106">
        <f>D10+D22+D23</f>
        <v>1029916</v>
      </c>
      <c r="E57" s="106">
        <f>SUM(C57:D57)</f>
        <v>3049362</v>
      </c>
    </row>
    <row r="58" spans="2:19" ht="14.25">
      <c r="B58" s="177" t="s">
        <v>196</v>
      </c>
      <c r="C58" s="106">
        <f>AC10+AC22+AC23</f>
        <v>8186.58333333333</v>
      </c>
      <c r="D58" s="106">
        <f>AD10+AD22+AD23</f>
        <v>37100.66666666667</v>
      </c>
      <c r="E58" s="106">
        <f>SUM(C58:D58)</f>
        <v>45287.25</v>
      </c>
      <c r="S58" s="92"/>
    </row>
    <row r="59" spans="2:5" ht="14.25">
      <c r="B59" s="177" t="s">
        <v>197</v>
      </c>
      <c r="C59" s="223">
        <f>C57/(C58*1000)*100</f>
        <v>24.667751096814918</v>
      </c>
      <c r="D59" s="223">
        <f>D57/(D58*1000)*100</f>
        <v>2.776004025084904</v>
      </c>
      <c r="E59" s="223">
        <f>E57/(E58*1000)*100</f>
        <v>6.733378599937069</v>
      </c>
    </row>
  </sheetData>
  <sheetProtection/>
  <mergeCells count="12">
    <mergeCell ref="AE6:AG6"/>
    <mergeCell ref="Z6:Z7"/>
    <mergeCell ref="AA6:AA7"/>
    <mergeCell ref="S6:S7"/>
    <mergeCell ref="T6:T7"/>
    <mergeCell ref="X6:Y6"/>
    <mergeCell ref="AB6:AD6"/>
    <mergeCell ref="U6:W6"/>
    <mergeCell ref="A6:A7"/>
    <mergeCell ref="B6:B7"/>
    <mergeCell ref="G6:G7"/>
    <mergeCell ref="C6:E6"/>
  </mergeCells>
  <conditionalFormatting sqref="Y8">
    <cfRule type="top10" priority="29" dxfId="1" stopIfTrue="1" rank="5" bottom="1"/>
    <cfRule type="top10" priority="35" dxfId="1" stopIfTrue="1" rank="5" bottom="1"/>
  </conditionalFormatting>
  <conditionalFormatting sqref="Z8">
    <cfRule type="cellIs" priority="26" dxfId="0" operator="greaterThan" stopIfTrue="1">
      <formula>0.4</formula>
    </cfRule>
  </conditionalFormatting>
  <conditionalFormatting sqref="U8:V37">
    <cfRule type="top10" priority="23" dxfId="1" stopIfTrue="1" rank="5" bottom="1"/>
    <cfRule type="top10" priority="24" dxfId="0" stopIfTrue="1" rank="5"/>
  </conditionalFormatting>
  <conditionalFormatting sqref="W8:W37">
    <cfRule type="top10" priority="19" dxfId="1" stopIfTrue="1" rank="5" bottom="1"/>
    <cfRule type="top10" priority="20" dxfId="0" stopIfTrue="1" rank="5"/>
  </conditionalFormatting>
  <conditionalFormatting sqref="X9:X37">
    <cfRule type="top10" priority="17" dxfId="1" stopIfTrue="1" rank="5" bottom="1"/>
    <cfRule type="top10" priority="18" dxfId="0" stopIfTrue="1" rank="5"/>
  </conditionalFormatting>
  <conditionalFormatting sqref="Y9:Y37">
    <cfRule type="top10" priority="15" dxfId="1" stopIfTrue="1" rank="5" bottom="1"/>
    <cfRule type="top10" priority="16" dxfId="0" stopIfTrue="1" rank="5"/>
  </conditionalFormatting>
  <conditionalFormatting sqref="Z9:Z37">
    <cfRule type="top10" priority="13" dxfId="1" stopIfTrue="1" rank="5" bottom="1"/>
    <cfRule type="top10" priority="14" dxfId="0" stopIfTrue="1" rank="5"/>
  </conditionalFormatting>
  <conditionalFormatting sqref="U8:U34">
    <cfRule type="top10" priority="11" dxfId="1" stopIfTrue="1" rank="5" bottom="1"/>
    <cfRule type="top10" priority="12" dxfId="0" stopIfTrue="1" rank="5"/>
  </conditionalFormatting>
  <conditionalFormatting sqref="V8:V33">
    <cfRule type="top10" priority="9" dxfId="1" stopIfTrue="1" rank="5" bottom="1"/>
    <cfRule type="top10" priority="10" dxfId="0" stopIfTrue="1" rank="5"/>
  </conditionalFormatting>
  <conditionalFormatting sqref="W8:W33">
    <cfRule type="top10" priority="7" dxfId="1" stopIfTrue="1" rank="5" bottom="1"/>
    <cfRule type="top10" priority="8" dxfId="0" stopIfTrue="1" rank="5"/>
  </conditionalFormatting>
  <conditionalFormatting sqref="X9:X33">
    <cfRule type="top10" priority="5" dxfId="1" stopIfTrue="1" rank="5" bottom="1"/>
    <cfRule type="top10" priority="6" dxfId="0" stopIfTrue="1" rank="5"/>
  </conditionalFormatting>
  <conditionalFormatting sqref="Y9:Y33">
    <cfRule type="top10" priority="3" dxfId="1" stopIfTrue="1" rank="5" bottom="1"/>
    <cfRule type="top10" priority="4" dxfId="0" stopIfTrue="1" rank="5"/>
  </conditionalFormatting>
  <conditionalFormatting sqref="Z9:Z33">
    <cfRule type="top10" priority="1" dxfId="1" stopIfTrue="1" rank="5" bottom="1"/>
    <cfRule type="top10" priority="2" dxfId="0" stopIfTrue="1" rank="5"/>
  </conditionalFormatting>
  <printOptions horizontalCentered="1" verticalCentered="1"/>
  <pageMargins left="0.11811023622047245" right="0.11811023622047245" top="0.1968503937007874" bottom="0.1968503937007874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9" sqref="H9"/>
    </sheetView>
  </sheetViews>
  <sheetFormatPr defaultColWidth="9.140625" defaultRowHeight="12.75"/>
  <cols>
    <col min="1" max="1" width="5.7109375" style="26" customWidth="1"/>
    <col min="2" max="2" width="27.28125" style="26" customWidth="1"/>
    <col min="3" max="3" width="9.28125" style="26" customWidth="1"/>
    <col min="4" max="4" width="9.421875" style="26" customWidth="1"/>
    <col min="5" max="5" width="9.8515625" style="26" customWidth="1"/>
    <col min="6" max="6" width="12.00390625" style="26" customWidth="1"/>
    <col min="7" max="7" width="10.7109375" style="26" customWidth="1"/>
    <col min="8" max="8" width="9.00390625" style="26" customWidth="1"/>
    <col min="9" max="9" width="8.8515625" style="26" customWidth="1"/>
    <col min="10" max="10" width="10.8515625" style="26" bestFit="1" customWidth="1"/>
    <col min="11" max="11" width="9.7109375" style="26" customWidth="1"/>
    <col min="12" max="12" width="10.421875" style="26" customWidth="1"/>
    <col min="13" max="13" width="11.140625" style="26" customWidth="1"/>
    <col min="14" max="14" width="14.57421875" style="26" customWidth="1"/>
    <col min="15" max="15" width="10.421875" style="26" customWidth="1"/>
    <col min="16" max="16" width="13.421875" style="26" customWidth="1"/>
    <col min="17" max="17" width="9.57421875" style="26" bestFit="1" customWidth="1"/>
    <col min="18" max="21" width="9.140625" style="26" customWidth="1"/>
    <col min="22" max="22" width="12.421875" style="26" customWidth="1"/>
    <col min="23" max="16384" width="9.140625" style="26" customWidth="1"/>
  </cols>
  <sheetData>
    <row r="1" ht="15.75">
      <c r="K1" s="76" t="s">
        <v>119</v>
      </c>
    </row>
    <row r="2" spans="2:7" ht="15">
      <c r="B2" s="2" t="str">
        <f>'Anne-1'!B2</f>
        <v>No. 1-2(1)/Market Share/2013-CP&amp;M </v>
      </c>
      <c r="C2" s="2"/>
      <c r="D2" s="2"/>
      <c r="E2" s="2"/>
      <c r="F2" s="2"/>
      <c r="G2" s="2"/>
    </row>
    <row r="4" spans="2:7" ht="15.75">
      <c r="B4" s="29" t="s">
        <v>270</v>
      </c>
      <c r="G4" s="74"/>
    </row>
    <row r="5" ht="15.75" thickBot="1">
      <c r="B5" s="26" t="s">
        <v>232</v>
      </c>
    </row>
    <row r="6" spans="1:12" ht="17.25" customHeight="1">
      <c r="A6" s="618" t="s">
        <v>62</v>
      </c>
      <c r="B6" s="616" t="s">
        <v>64</v>
      </c>
      <c r="C6" s="621" t="s">
        <v>142</v>
      </c>
      <c r="D6" s="622"/>
      <c r="E6" s="622"/>
      <c r="F6" s="622"/>
      <c r="G6" s="623"/>
      <c r="H6" s="621" t="s">
        <v>145</v>
      </c>
      <c r="I6" s="622"/>
      <c r="J6" s="622"/>
      <c r="K6" s="622"/>
      <c r="L6" s="623"/>
    </row>
    <row r="7" spans="1:12" ht="16.5" customHeight="1">
      <c r="A7" s="619"/>
      <c r="B7" s="617"/>
      <c r="C7" s="620" t="s">
        <v>143</v>
      </c>
      <c r="D7" s="625" t="s">
        <v>141</v>
      </c>
      <c r="E7" s="625"/>
      <c r="F7" s="625"/>
      <c r="G7" s="624" t="s">
        <v>70</v>
      </c>
      <c r="H7" s="613" t="s">
        <v>144</v>
      </c>
      <c r="I7" s="625" t="s">
        <v>141</v>
      </c>
      <c r="J7" s="625"/>
      <c r="K7" s="625"/>
      <c r="L7" s="624" t="s">
        <v>70</v>
      </c>
    </row>
    <row r="8" spans="1:12" ht="21" customHeight="1">
      <c r="A8" s="620"/>
      <c r="B8" s="612"/>
      <c r="C8" s="620"/>
      <c r="D8" s="27" t="s">
        <v>131</v>
      </c>
      <c r="E8" s="27" t="s">
        <v>140</v>
      </c>
      <c r="F8" s="27" t="s">
        <v>89</v>
      </c>
      <c r="G8" s="624"/>
      <c r="H8" s="613"/>
      <c r="I8" s="27" t="s">
        <v>131</v>
      </c>
      <c r="J8" s="27" t="s">
        <v>140</v>
      </c>
      <c r="K8" s="27" t="s">
        <v>89</v>
      </c>
      <c r="L8" s="624"/>
    </row>
    <row r="9" spans="1:23" ht="15.75">
      <c r="A9" s="195">
        <v>1</v>
      </c>
      <c r="B9" s="196" t="s">
        <v>1</v>
      </c>
      <c r="C9" s="190">
        <f>'Anne-8'!D35/1000000</f>
        <v>18.754527</v>
      </c>
      <c r="D9" s="181">
        <f>'Anne-7'!F38/1000000</f>
        <v>2.288459</v>
      </c>
      <c r="E9" s="181">
        <f>'Anne-6'!D35/1000000</f>
        <v>92.428456</v>
      </c>
      <c r="F9" s="181">
        <f>E9+D9</f>
        <v>94.716915</v>
      </c>
      <c r="G9" s="193">
        <f>C9+F9</f>
        <v>113.471442</v>
      </c>
      <c r="H9" s="199">
        <f>C9/C22*100</f>
        <v>65.31019888266772</v>
      </c>
      <c r="I9" s="151">
        <f>D9/$D$22*100</f>
        <v>1.4304468704824636</v>
      </c>
      <c r="J9" s="151">
        <f aca="true" t="shared" si="0" ref="J9:J17">E9/$E$22*100</f>
        <v>12.603481228572416</v>
      </c>
      <c r="K9" s="151">
        <f aca="true" t="shared" si="1" ref="K9:K22">F9/$F$22*100</f>
        <v>10.602576507096897</v>
      </c>
      <c r="L9" s="200">
        <f aca="true" t="shared" si="2" ref="L9:L22">G9/$G$22*100</f>
        <v>12.306367216997044</v>
      </c>
      <c r="N9" s="208"/>
      <c r="O9" s="180"/>
      <c r="P9" s="180"/>
      <c r="V9" s="160">
        <v>29.14983</v>
      </c>
      <c r="W9" s="160">
        <f>V9/V15*100</f>
        <v>77.09726343320534</v>
      </c>
    </row>
    <row r="10" spans="1:23" ht="15.75">
      <c r="A10" s="195">
        <v>2</v>
      </c>
      <c r="B10" s="196" t="s">
        <v>75</v>
      </c>
      <c r="C10" s="192">
        <f>'Anne-8'!H38/1000000</f>
        <v>3.355287</v>
      </c>
      <c r="D10" s="184"/>
      <c r="E10" s="182">
        <f>'Anne-6'!G38/1000000</f>
        <v>200.839755</v>
      </c>
      <c r="F10" s="181">
        <f aca="true" t="shared" si="3" ref="F10:F21">E10+D10</f>
        <v>200.839755</v>
      </c>
      <c r="G10" s="191">
        <f aca="true" t="shared" si="4" ref="G10:G21">C10+F10</f>
        <v>204.195042</v>
      </c>
      <c r="H10" s="202">
        <f>C10/C22*100</f>
        <v>11.684350198670943</v>
      </c>
      <c r="I10" s="151"/>
      <c r="J10" s="150">
        <f t="shared" si="0"/>
        <v>27.3863720291247</v>
      </c>
      <c r="K10" s="150">
        <f t="shared" si="1"/>
        <v>22.48192804900895</v>
      </c>
      <c r="L10" s="201">
        <f t="shared" si="2"/>
        <v>22.145652918926814</v>
      </c>
      <c r="N10" s="74"/>
      <c r="O10" s="180"/>
      <c r="P10" s="180"/>
      <c r="Q10" s="74"/>
      <c r="V10" s="160">
        <v>3.573206</v>
      </c>
      <c r="W10" s="160">
        <f>V10/V15*100</f>
        <v>9.450635021991891</v>
      </c>
    </row>
    <row r="11" spans="1:23" ht="15.75">
      <c r="A11" s="195">
        <v>3</v>
      </c>
      <c r="B11" s="196" t="s">
        <v>13</v>
      </c>
      <c r="C11" s="192">
        <f>'Anne-8'!I38/1000000</f>
        <v>1.239031</v>
      </c>
      <c r="D11" s="181">
        <f>'Anne-7'!I38/1000000</f>
        <v>82.906955</v>
      </c>
      <c r="E11" s="181">
        <f>'Anne-6'!S38/1000000</f>
        <v>34.741956</v>
      </c>
      <c r="F11" s="181">
        <f t="shared" si="3"/>
        <v>117.648911</v>
      </c>
      <c r="G11" s="191">
        <f t="shared" si="4"/>
        <v>118.887942</v>
      </c>
      <c r="H11" s="202">
        <f>C11/C22*100</f>
        <v>4.314764165035497</v>
      </c>
      <c r="I11" s="150">
        <f>D11/$D$22*100</f>
        <v>51.822643237646126</v>
      </c>
      <c r="J11" s="151">
        <f t="shared" si="0"/>
        <v>4.737389427882349</v>
      </c>
      <c r="K11" s="150">
        <f t="shared" si="1"/>
        <v>13.169575675623872</v>
      </c>
      <c r="L11" s="201">
        <f t="shared" si="2"/>
        <v>12.89380522656129</v>
      </c>
      <c r="N11" s="74"/>
      <c r="O11" s="180"/>
      <c r="P11" s="180"/>
      <c r="Q11" s="74"/>
      <c r="V11" s="160">
        <v>2.756253</v>
      </c>
      <c r="W11" s="160">
        <f>V11/V15*100</f>
        <v>7.2899074756032025</v>
      </c>
    </row>
    <row r="12" spans="1:23" ht="15.75">
      <c r="A12" s="195">
        <v>4</v>
      </c>
      <c r="B12" s="196" t="s">
        <v>109</v>
      </c>
      <c r="C12" s="192">
        <f>'Anne-8'!M38/1000000</f>
        <v>0.0447</v>
      </c>
      <c r="D12" s="184"/>
      <c r="E12" s="182">
        <f>'Anne-6'!I38/1000000</f>
        <v>162.188296</v>
      </c>
      <c r="F12" s="181">
        <f t="shared" si="3"/>
        <v>162.188296</v>
      </c>
      <c r="G12" s="191">
        <f t="shared" si="4"/>
        <v>162.232996</v>
      </c>
      <c r="H12" s="202">
        <f>C12/C22*100</f>
        <v>0.15566193111963034</v>
      </c>
      <c r="I12" s="150"/>
      <c r="J12" s="150">
        <f t="shared" si="0"/>
        <v>22.11588543824801</v>
      </c>
      <c r="K12" s="150">
        <f t="shared" si="1"/>
        <v>18.15529799398215</v>
      </c>
      <c r="L12" s="201">
        <f t="shared" si="2"/>
        <v>17.594725054164844</v>
      </c>
      <c r="N12" s="208"/>
      <c r="O12" s="180"/>
      <c r="P12" s="180"/>
      <c r="Q12" s="74"/>
      <c r="V12" s="160">
        <v>1.115693</v>
      </c>
      <c r="W12" s="160">
        <f>V12/V15*100</f>
        <v>2.950853474328432</v>
      </c>
    </row>
    <row r="13" spans="1:23" ht="15.75">
      <c r="A13" s="195">
        <v>5</v>
      </c>
      <c r="B13" s="196" t="s">
        <v>71</v>
      </c>
      <c r="C13" s="192">
        <f>'Anne-8'!J38/1000000</f>
        <v>1.517891</v>
      </c>
      <c r="D13" s="181">
        <f>'Anne-7'!J38/1000000</f>
        <v>63.185062</v>
      </c>
      <c r="E13" s="185"/>
      <c r="F13" s="181">
        <f>E13+D13</f>
        <v>63.185062</v>
      </c>
      <c r="G13" s="193">
        <f t="shared" si="4"/>
        <v>64.70295300000001</v>
      </c>
      <c r="H13" s="202">
        <f>C13/C22*100</f>
        <v>5.285857814073978</v>
      </c>
      <c r="I13" s="150">
        <f>D13/$D$22*100</f>
        <v>39.495081274840594</v>
      </c>
      <c r="J13" s="151">
        <f t="shared" si="0"/>
        <v>0</v>
      </c>
      <c r="K13" s="151">
        <f t="shared" si="1"/>
        <v>7.072912520014624</v>
      </c>
      <c r="L13" s="200">
        <f t="shared" si="2"/>
        <v>7.017257255284556</v>
      </c>
      <c r="N13" s="74"/>
      <c r="O13" s="180"/>
      <c r="P13" s="180"/>
      <c r="Q13" s="74"/>
      <c r="V13" s="160">
        <v>0.929564</v>
      </c>
      <c r="W13" s="160">
        <f>V13/V15*100</f>
        <v>2.4585680460580415</v>
      </c>
    </row>
    <row r="14" spans="1:23" ht="15.75">
      <c r="A14" s="195">
        <v>6</v>
      </c>
      <c r="B14" s="196" t="s">
        <v>67</v>
      </c>
      <c r="C14" s="192"/>
      <c r="D14" s="184"/>
      <c r="E14" s="181">
        <f>'Anne-6'!N38/1000000</f>
        <v>130.217704</v>
      </c>
      <c r="F14" s="181">
        <f t="shared" si="3"/>
        <v>130.217704</v>
      </c>
      <c r="G14" s="193">
        <f t="shared" si="4"/>
        <v>130.217704</v>
      </c>
      <c r="H14" s="202"/>
      <c r="I14" s="151"/>
      <c r="J14" s="150">
        <f t="shared" si="0"/>
        <v>17.756397315473922</v>
      </c>
      <c r="K14" s="151">
        <f t="shared" si="1"/>
        <v>14.576521725169128</v>
      </c>
      <c r="L14" s="201">
        <f t="shared" si="2"/>
        <v>14.12255678903089</v>
      </c>
      <c r="N14" s="74"/>
      <c r="O14" s="180"/>
      <c r="P14" s="180"/>
      <c r="Q14" s="74"/>
      <c r="V14" s="160">
        <v>0.284617</v>
      </c>
      <c r="W14" s="160">
        <f>V14/V15*100</f>
        <v>0.7527725488131013</v>
      </c>
    </row>
    <row r="15" spans="1:23" ht="15">
      <c r="A15" s="195">
        <v>7</v>
      </c>
      <c r="B15" s="196" t="s">
        <v>68</v>
      </c>
      <c r="C15" s="192"/>
      <c r="D15" s="184"/>
      <c r="E15" s="181">
        <f>'Anne-6'!K38/1000000</f>
        <v>68.444071</v>
      </c>
      <c r="F15" s="181">
        <f t="shared" si="3"/>
        <v>68.444071</v>
      </c>
      <c r="G15" s="193">
        <f t="shared" si="4"/>
        <v>68.444071</v>
      </c>
      <c r="H15" s="202"/>
      <c r="I15" s="151"/>
      <c r="J15" s="151">
        <f t="shared" si="0"/>
        <v>9.33298684612429</v>
      </c>
      <c r="K15" s="151">
        <f t="shared" si="1"/>
        <v>7.6616040464860165</v>
      </c>
      <c r="L15" s="200">
        <f t="shared" si="2"/>
        <v>7.422994338542186</v>
      </c>
      <c r="N15" s="74"/>
      <c r="O15" s="180"/>
      <c r="P15" s="180"/>
      <c r="Q15" s="74"/>
      <c r="V15" s="160">
        <f>SUM(V9:V14)</f>
        <v>37.809163</v>
      </c>
      <c r="W15" s="160">
        <f>V15/V15*100</f>
        <v>100</v>
      </c>
    </row>
    <row r="16" spans="1:17" s="266" customFormat="1" ht="15">
      <c r="A16" s="258">
        <v>8</v>
      </c>
      <c r="B16" s="259" t="s">
        <v>2</v>
      </c>
      <c r="C16" s="260">
        <f>'Anne-8'!E38/1000000</f>
        <v>3.537984</v>
      </c>
      <c r="D16" s="261">
        <f>'Anne-7'!G38/1000000</f>
        <v>0.127858</v>
      </c>
      <c r="E16" s="261">
        <f>'Anne-6'!E38/1000000</f>
        <v>3.367341</v>
      </c>
      <c r="F16" s="261">
        <f t="shared" si="3"/>
        <v>3.495199</v>
      </c>
      <c r="G16" s="262">
        <f t="shared" si="4"/>
        <v>7.033182999999999</v>
      </c>
      <c r="H16" s="263">
        <f>C16/C22*100</f>
        <v>12.320568718352442</v>
      </c>
      <c r="I16" s="264">
        <f>D16/$D$22*100</f>
        <v>0.07992018907314782</v>
      </c>
      <c r="J16" s="264">
        <f t="shared" si="0"/>
        <v>0.45916832240173167</v>
      </c>
      <c r="K16" s="264">
        <f t="shared" si="1"/>
        <v>0.3912512860562295</v>
      </c>
      <c r="L16" s="265">
        <f t="shared" si="2"/>
        <v>0.7627728279185958</v>
      </c>
      <c r="N16" s="267"/>
      <c r="O16" s="268"/>
      <c r="P16" s="268"/>
      <c r="Q16" s="267"/>
    </row>
    <row r="17" spans="1:17" ht="15">
      <c r="A17" s="195">
        <v>9</v>
      </c>
      <c r="B17" s="196" t="s">
        <v>200</v>
      </c>
      <c r="C17" s="192"/>
      <c r="D17" s="184"/>
      <c r="E17" s="181">
        <f>'Anne-6'!X38/1000000</f>
        <v>2.97946</v>
      </c>
      <c r="F17" s="181">
        <f t="shared" si="3"/>
        <v>2.97946</v>
      </c>
      <c r="G17" s="193">
        <f t="shared" si="4"/>
        <v>2.97946</v>
      </c>
      <c r="H17" s="202"/>
      <c r="I17" s="151"/>
      <c r="J17" s="151">
        <f t="shared" si="0"/>
        <v>0.4062771337571881</v>
      </c>
      <c r="K17" s="151">
        <f t="shared" si="1"/>
        <v>0.3335196527445486</v>
      </c>
      <c r="L17" s="200">
        <f t="shared" si="2"/>
        <v>0.3231326598313082</v>
      </c>
      <c r="N17" s="74"/>
      <c r="P17" s="180"/>
      <c r="Q17" s="74"/>
    </row>
    <row r="18" spans="1:22" ht="15">
      <c r="A18" s="195">
        <v>10</v>
      </c>
      <c r="B18" s="196" t="s">
        <v>203</v>
      </c>
      <c r="C18" s="192">
        <f>'Anne-8'!K38/1000000</f>
        <v>0.210046</v>
      </c>
      <c r="D18" s="181">
        <f>'Anne-7'!K38/1000000</f>
        <v>2.023743</v>
      </c>
      <c r="E18" s="185"/>
      <c r="F18" s="181">
        <f t="shared" si="3"/>
        <v>2.023743</v>
      </c>
      <c r="G18" s="193">
        <f t="shared" si="4"/>
        <v>2.2337890000000002</v>
      </c>
      <c r="H18" s="202">
        <f>C18/C22*100</f>
        <v>0.7314578519900196</v>
      </c>
      <c r="I18" s="151">
        <f>D18/$D$22*100</f>
        <v>1.264980863109539</v>
      </c>
      <c r="J18" s="151"/>
      <c r="K18" s="151">
        <f t="shared" si="1"/>
        <v>0.22653704449940965</v>
      </c>
      <c r="L18" s="200">
        <f t="shared" si="2"/>
        <v>0.24226208140801292</v>
      </c>
      <c r="N18" s="74"/>
      <c r="P18" s="180"/>
      <c r="Q18" s="74"/>
      <c r="V18" s="26">
        <v>162044</v>
      </c>
    </row>
    <row r="19" spans="1:22" ht="15">
      <c r="A19" s="195">
        <v>11</v>
      </c>
      <c r="B19" s="196" t="s">
        <v>202</v>
      </c>
      <c r="C19" s="192">
        <f>'Anne-8'!L38/1000000</f>
        <v>0.056611</v>
      </c>
      <c r="D19" s="181">
        <f>'Anne-7'!L38/1000000</f>
        <v>9.450027</v>
      </c>
      <c r="E19" s="185"/>
      <c r="F19" s="181">
        <f t="shared" si="3"/>
        <v>9.450027</v>
      </c>
      <c r="G19" s="193">
        <f t="shared" si="4"/>
        <v>9.506638</v>
      </c>
      <c r="H19" s="202">
        <f>C19/C22*100</f>
        <v>0.1971404380897851</v>
      </c>
      <c r="I19" s="151">
        <f>D19/$D$22*100</f>
        <v>5.906927564848129</v>
      </c>
      <c r="J19" s="151"/>
      <c r="K19" s="151">
        <f t="shared" si="1"/>
        <v>1.057832534575597</v>
      </c>
      <c r="L19" s="200">
        <f t="shared" si="2"/>
        <v>1.0310275093451122</v>
      </c>
      <c r="N19" s="74"/>
      <c r="P19" s="180"/>
      <c r="Q19" s="74"/>
      <c r="V19" s="26">
        <v>122573</v>
      </c>
    </row>
    <row r="20" spans="1:17" ht="15">
      <c r="A20" s="195">
        <v>12</v>
      </c>
      <c r="B20" s="196" t="s">
        <v>136</v>
      </c>
      <c r="C20" s="192"/>
      <c r="D20" s="184"/>
      <c r="E20" s="181">
        <f>'Anne-6'!V38/1000000</f>
        <v>33.916364</v>
      </c>
      <c r="F20" s="181">
        <f t="shared" si="3"/>
        <v>33.916364</v>
      </c>
      <c r="G20" s="193">
        <f t="shared" si="4"/>
        <v>33.916364</v>
      </c>
      <c r="H20" s="202"/>
      <c r="I20" s="151"/>
      <c r="J20" s="151">
        <f>E20/$E$22*100</f>
        <v>4.624812265774832</v>
      </c>
      <c r="K20" s="151">
        <f t="shared" si="1"/>
        <v>3.7965852683498715</v>
      </c>
      <c r="L20" s="200">
        <f t="shared" si="2"/>
        <v>3.678346046305984</v>
      </c>
      <c r="N20" s="74"/>
      <c r="P20" s="180"/>
      <c r="Q20" s="74"/>
    </row>
    <row r="21" spans="1:17" ht="15">
      <c r="A21" s="209">
        <v>13</v>
      </c>
      <c r="B21" s="210" t="s">
        <v>146</v>
      </c>
      <c r="C21" s="211"/>
      <c r="D21" s="215"/>
      <c r="E21" s="216">
        <f>'Anne-6'!W38/1000000</f>
        <v>4.233154</v>
      </c>
      <c r="F21" s="181">
        <f t="shared" si="3"/>
        <v>4.233154</v>
      </c>
      <c r="G21" s="193">
        <f t="shared" si="4"/>
        <v>4.233154</v>
      </c>
      <c r="H21" s="212"/>
      <c r="I21" s="213"/>
      <c r="J21" s="151">
        <f>E21/$E$22*100</f>
        <v>0.5772299926405374</v>
      </c>
      <c r="K21" s="151">
        <f t="shared" si="1"/>
        <v>0.4738576963927009</v>
      </c>
      <c r="L21" s="200">
        <f t="shared" si="2"/>
        <v>0.4591000756833592</v>
      </c>
      <c r="N21" s="74"/>
      <c r="P21" s="180"/>
      <c r="Q21" s="74"/>
    </row>
    <row r="22" spans="1:16" ht="16.5" thickBot="1">
      <c r="A22" s="197"/>
      <c r="B22" s="198" t="s">
        <v>47</v>
      </c>
      <c r="C22" s="194">
        <f>SUM(C9:C21)</f>
        <v>28.716076999999995</v>
      </c>
      <c r="D22" s="194">
        <f>SUM(D9:D21)</f>
        <v>159.982104</v>
      </c>
      <c r="E22" s="194">
        <f>SUM(E9:E21)</f>
        <v>733.3565570000002</v>
      </c>
      <c r="F22" s="194">
        <f>SUM(F9:F21)</f>
        <v>893.338661</v>
      </c>
      <c r="G22" s="194">
        <f>SUM(G9:G21)</f>
        <v>922.054738</v>
      </c>
      <c r="H22" s="203">
        <f>C22/C22*100</f>
        <v>100</v>
      </c>
      <c r="I22" s="204">
        <f>D22/$D$22*100</f>
        <v>100</v>
      </c>
      <c r="J22" s="204">
        <f>E22/$E$22*100</f>
        <v>100</v>
      </c>
      <c r="K22" s="204">
        <f t="shared" si="1"/>
        <v>100</v>
      </c>
      <c r="L22" s="205">
        <f t="shared" si="2"/>
        <v>100</v>
      </c>
      <c r="N22" s="74"/>
      <c r="P22" s="180"/>
    </row>
    <row r="23" spans="1:14" ht="22.5" customHeight="1">
      <c r="A23" s="187" t="s">
        <v>137</v>
      </c>
      <c r="B23" s="188"/>
      <c r="C23" s="189">
        <f>'Anne-8'!O35/1000000</f>
        <v>22.570509</v>
      </c>
      <c r="D23" s="189">
        <f>'Anne-7'!N35/1000000</f>
        <v>138.586334</v>
      </c>
      <c r="E23" s="189">
        <f>'Anne-6'!Z35/1000000</f>
        <v>681.953718</v>
      </c>
      <c r="F23" s="189">
        <f>E23+D23</f>
        <v>820.540052</v>
      </c>
      <c r="G23" s="189">
        <f>F23+C23</f>
        <v>843.110561</v>
      </c>
      <c r="H23" s="176"/>
      <c r="I23" s="176"/>
      <c r="J23" s="176"/>
      <c r="K23" s="176"/>
      <c r="L23" s="176"/>
      <c r="N23" s="74"/>
    </row>
    <row r="24" ht="15.75" customHeight="1">
      <c r="L24" s="161"/>
    </row>
    <row r="25" spans="1:10" ht="31.5" customHeight="1">
      <c r="A25" s="612" t="s">
        <v>139</v>
      </c>
      <c r="B25" s="613"/>
      <c r="C25" s="179">
        <f>C9/C22*100</f>
        <v>65.31019888266772</v>
      </c>
      <c r="D25" s="179">
        <f>D9/D22*100</f>
        <v>1.4304468704824636</v>
      </c>
      <c r="E25" s="179">
        <f>E9/E22*100</f>
        <v>12.603481228572416</v>
      </c>
      <c r="F25" s="179">
        <f>F9/F22*100</f>
        <v>10.602576507096897</v>
      </c>
      <c r="G25" s="179">
        <f>G9/G22*100</f>
        <v>12.306367216997044</v>
      </c>
      <c r="H25" s="102"/>
      <c r="I25" s="102"/>
      <c r="J25" s="102"/>
    </row>
    <row r="26" spans="1:7" ht="33.75" customHeight="1">
      <c r="A26" s="614" t="s">
        <v>138</v>
      </c>
      <c r="B26" s="615"/>
      <c r="C26" s="179">
        <f>C9/C23*100</f>
        <v>83.0930618356901</v>
      </c>
      <c r="D26" s="179">
        <f>D9/D23*100</f>
        <v>1.6512876370623961</v>
      </c>
      <c r="E26" s="179">
        <f>E9/E23*100</f>
        <v>13.553479299309283</v>
      </c>
      <c r="F26" s="179">
        <f>F9/F23*100</f>
        <v>11.543240914216826</v>
      </c>
      <c r="G26" s="179">
        <f>G9/G23*100</f>
        <v>13.458666899559807</v>
      </c>
    </row>
    <row r="27" spans="10:12" ht="15">
      <c r="J27" s="208"/>
      <c r="K27" s="161"/>
      <c r="L27" s="161"/>
    </row>
    <row r="28" spans="8:12" ht="15">
      <c r="H28" s="161"/>
      <c r="I28" s="161"/>
      <c r="J28" s="161"/>
      <c r="K28" s="161"/>
      <c r="L28" s="161"/>
    </row>
    <row r="30" spans="3:12" ht="15">
      <c r="C30" s="208"/>
      <c r="D30" s="74"/>
      <c r="E30" s="74"/>
      <c r="F30" s="208"/>
      <c r="G30" s="208"/>
      <c r="K30" s="161">
        <f>K17+K18+K19+K20+K21</f>
        <v>5.888332196562128</v>
      </c>
      <c r="L30" s="161">
        <f>L17+L18+L19+L20+L21</f>
        <v>5.7338683725737765</v>
      </c>
    </row>
    <row r="31" spans="3:12" ht="15">
      <c r="C31" s="161">
        <f>C17+C18+C19+C20+C21</f>
        <v>0.26665700000000003</v>
      </c>
      <c r="D31" s="161">
        <f aca="true" t="shared" si="5" ref="D31:L31">D17+D18+D19+D20+D21</f>
        <v>11.47377</v>
      </c>
      <c r="E31" s="161">
        <f t="shared" si="5"/>
        <v>41.128978000000004</v>
      </c>
      <c r="F31" s="161">
        <f t="shared" si="5"/>
        <v>52.602748000000005</v>
      </c>
      <c r="G31" s="161">
        <f t="shared" si="5"/>
        <v>52.869405</v>
      </c>
      <c r="H31" s="161">
        <f t="shared" si="5"/>
        <v>0.9285982900798047</v>
      </c>
      <c r="I31" s="161">
        <f t="shared" si="5"/>
        <v>7.171908427957668</v>
      </c>
      <c r="J31" s="161">
        <f t="shared" si="5"/>
        <v>5.608319392172557</v>
      </c>
      <c r="K31" s="161">
        <f t="shared" si="5"/>
        <v>5.888332196562128</v>
      </c>
      <c r="L31" s="161">
        <f t="shared" si="5"/>
        <v>5.7338683725737765</v>
      </c>
    </row>
    <row r="33" spans="13:16" ht="15">
      <c r="M33" s="180">
        <v>247.24806999999998</v>
      </c>
      <c r="N33" s="180">
        <v>52.985749999999996</v>
      </c>
      <c r="O33" s="180">
        <v>884.2925</v>
      </c>
      <c r="P33" s="180">
        <f>SUM(M33:O33)</f>
        <v>1184.52632</v>
      </c>
    </row>
    <row r="34" spans="3:5" ht="15">
      <c r="C34" s="26">
        <f>C9*10</f>
        <v>187.54527</v>
      </c>
      <c r="D34" s="26">
        <f>D9*10</f>
        <v>22.88459</v>
      </c>
      <c r="E34" s="26">
        <f>E9*10</f>
        <v>924.2845599999999</v>
      </c>
    </row>
    <row r="35" ht="15">
      <c r="G35" s="214"/>
    </row>
  </sheetData>
  <sheetProtection/>
  <mergeCells count="12">
    <mergeCell ref="H7:H8"/>
    <mergeCell ref="H6:L6"/>
    <mergeCell ref="I7:K7"/>
    <mergeCell ref="L7:L8"/>
    <mergeCell ref="D7:F7"/>
    <mergeCell ref="C7:C8"/>
    <mergeCell ref="A25:B25"/>
    <mergeCell ref="A26:B26"/>
    <mergeCell ref="B6:B8"/>
    <mergeCell ref="A6:A8"/>
    <mergeCell ref="C6:G6"/>
    <mergeCell ref="G7:G8"/>
  </mergeCells>
  <printOptions horizontalCentered="1" verticalCentered="1"/>
  <pageMargins left="0.5905511811023623" right="0.1968503937007874" top="0.5905511811023623" bottom="0.5905511811023623" header="0.5118110236220472" footer="0.5118110236220472"/>
  <pageSetup horizontalDpi="600" verticalDpi="600" orientation="landscape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40"/>
  <sheetViews>
    <sheetView zoomScalePageLayoutView="0" workbookViewId="0" topLeftCell="A16">
      <selection activeCell="AK12" sqref="AK12"/>
    </sheetView>
  </sheetViews>
  <sheetFormatPr defaultColWidth="9.140625" defaultRowHeight="12.75"/>
  <cols>
    <col min="1" max="1" width="5.28125" style="0" customWidth="1"/>
    <col min="2" max="2" width="19.8515625" style="0" customWidth="1"/>
    <col min="3" max="7" width="11.7109375" style="0" hidden="1" customWidth="1"/>
    <col min="8" max="8" width="10.7109375" style="0" hidden="1" customWidth="1"/>
    <col min="9" max="9" width="11.7109375" style="0" hidden="1" customWidth="1"/>
    <col min="10" max="10" width="13.421875" style="0" hidden="1" customWidth="1"/>
    <col min="11" max="11" width="11.7109375" style="0" hidden="1" customWidth="1"/>
    <col min="12" max="12" width="13.421875" style="0" hidden="1" customWidth="1"/>
    <col min="13" max="13" width="11.7109375" style="0" hidden="1" customWidth="1"/>
    <col min="14" max="14" width="9.140625" style="0" hidden="1" customWidth="1"/>
    <col min="15" max="15" width="10.7109375" style="0" hidden="1" customWidth="1"/>
    <col min="16" max="16" width="11.7109375" style="0" hidden="1" customWidth="1"/>
    <col min="17" max="17" width="12.421875" style="0" hidden="1" customWidth="1"/>
    <col min="18" max="19" width="10.7109375" style="0" hidden="1" customWidth="1"/>
    <col min="20" max="21" width="11.7109375" style="0" hidden="1" customWidth="1"/>
    <col min="22" max="22" width="11.421875" style="0" hidden="1" customWidth="1"/>
    <col min="23" max="23" width="8.8515625" style="0" customWidth="1"/>
    <col min="24" max="24" width="11.00390625" style="0" customWidth="1"/>
    <col min="25" max="25" width="10.8515625" style="0" customWidth="1"/>
    <col min="26" max="26" width="9.7109375" style="0" customWidth="1"/>
    <col min="27" max="27" width="11.421875" style="0" customWidth="1"/>
    <col min="28" max="28" width="9.57421875" style="0" customWidth="1"/>
    <col min="29" max="29" width="9.7109375" style="0" customWidth="1"/>
    <col min="30" max="30" width="9.421875" style="0" customWidth="1"/>
    <col min="31" max="31" width="10.00390625" style="0" customWidth="1"/>
    <col min="32" max="32" width="10.28125" style="0" customWidth="1"/>
    <col min="33" max="33" width="8.57421875" style="0" customWidth="1"/>
    <col min="34" max="34" width="7.57421875" style="0" customWidth="1"/>
    <col min="35" max="35" width="7.8515625" style="0" customWidth="1"/>
    <col min="36" max="36" width="8.28125" style="0" customWidth="1"/>
    <col min="37" max="37" width="7.57421875" style="0" customWidth="1"/>
    <col min="41" max="41" width="9.7109375" style="0" bestFit="1" customWidth="1"/>
    <col min="42" max="43" width="9.28125" style="0" bestFit="1" customWidth="1"/>
  </cols>
  <sheetData>
    <row r="1" spans="1:35" ht="15">
      <c r="A1" s="186" t="s">
        <v>271</v>
      </c>
      <c r="AI1" s="76" t="s">
        <v>115</v>
      </c>
    </row>
    <row r="2" ht="13.5" thickBot="1">
      <c r="A2" s="186"/>
    </row>
    <row r="3" spans="1:37" ht="12.75" customHeight="1" thickBot="1">
      <c r="A3" s="639" t="s">
        <v>19</v>
      </c>
      <c r="B3" s="642" t="s">
        <v>20</v>
      </c>
      <c r="C3" s="645" t="s">
        <v>149</v>
      </c>
      <c r="D3" s="646"/>
      <c r="E3" s="646"/>
      <c r="F3" s="646"/>
      <c r="G3" s="646"/>
      <c r="H3" s="646"/>
      <c r="I3" s="646"/>
      <c r="J3" s="646"/>
      <c r="K3" s="646"/>
      <c r="L3" s="646"/>
      <c r="M3" s="647" t="s">
        <v>150</v>
      </c>
      <c r="N3" s="646"/>
      <c r="O3" s="646"/>
      <c r="P3" s="646"/>
      <c r="Q3" s="646"/>
      <c r="R3" s="646"/>
      <c r="S3" s="646"/>
      <c r="T3" s="646"/>
      <c r="U3" s="646"/>
      <c r="V3" s="648"/>
      <c r="W3" s="650" t="s">
        <v>272</v>
      </c>
      <c r="X3" s="651"/>
      <c r="Y3" s="651"/>
      <c r="Z3" s="651"/>
      <c r="AA3" s="651"/>
      <c r="AB3" s="651"/>
      <c r="AC3" s="651"/>
      <c r="AD3" s="651"/>
      <c r="AE3" s="651"/>
      <c r="AF3" s="652"/>
      <c r="AG3" s="653" t="s">
        <v>282</v>
      </c>
      <c r="AH3" s="654"/>
      <c r="AI3" s="654"/>
      <c r="AJ3" s="654"/>
      <c r="AK3" s="655"/>
    </row>
    <row r="4" spans="1:37" ht="12.75" customHeight="1">
      <c r="A4" s="640"/>
      <c r="B4" s="643"/>
      <c r="C4" s="659" t="s">
        <v>204</v>
      </c>
      <c r="D4" s="660"/>
      <c r="E4" s="660"/>
      <c r="F4" s="660"/>
      <c r="G4" s="661"/>
      <c r="H4" s="662" t="s">
        <v>244</v>
      </c>
      <c r="I4" s="660"/>
      <c r="J4" s="660"/>
      <c r="K4" s="660"/>
      <c r="L4" s="661"/>
      <c r="M4" s="662" t="s">
        <v>204</v>
      </c>
      <c r="N4" s="660"/>
      <c r="O4" s="660"/>
      <c r="P4" s="660"/>
      <c r="Q4" s="661"/>
      <c r="R4" s="662" t="s">
        <v>244</v>
      </c>
      <c r="S4" s="660"/>
      <c r="T4" s="660"/>
      <c r="U4" s="660"/>
      <c r="V4" s="663"/>
      <c r="W4" s="664" t="s">
        <v>152</v>
      </c>
      <c r="X4" s="665"/>
      <c r="Y4" s="665"/>
      <c r="Z4" s="665"/>
      <c r="AA4" s="665"/>
      <c r="AB4" s="665" t="s">
        <v>153</v>
      </c>
      <c r="AC4" s="665"/>
      <c r="AD4" s="665"/>
      <c r="AE4" s="665"/>
      <c r="AF4" s="666"/>
      <c r="AG4" s="656"/>
      <c r="AH4" s="657"/>
      <c r="AI4" s="657"/>
      <c r="AJ4" s="657"/>
      <c r="AK4" s="658"/>
    </row>
    <row r="5" spans="1:37" ht="12.75" customHeight="1">
      <c r="A5" s="640"/>
      <c r="B5" s="643"/>
      <c r="C5" s="649" t="s">
        <v>154</v>
      </c>
      <c r="D5" s="631" t="s">
        <v>141</v>
      </c>
      <c r="E5" s="631"/>
      <c r="F5" s="631"/>
      <c r="G5" s="635" t="s">
        <v>47</v>
      </c>
      <c r="H5" s="636" t="s">
        <v>154</v>
      </c>
      <c r="I5" s="631" t="s">
        <v>141</v>
      </c>
      <c r="J5" s="631"/>
      <c r="K5" s="631"/>
      <c r="L5" s="635" t="s">
        <v>47</v>
      </c>
      <c r="M5" s="636" t="s">
        <v>154</v>
      </c>
      <c r="N5" s="631" t="s">
        <v>141</v>
      </c>
      <c r="O5" s="631"/>
      <c r="P5" s="631"/>
      <c r="Q5" s="635" t="s">
        <v>47</v>
      </c>
      <c r="R5" s="636" t="s">
        <v>154</v>
      </c>
      <c r="S5" s="631" t="s">
        <v>141</v>
      </c>
      <c r="T5" s="631"/>
      <c r="U5" s="631"/>
      <c r="V5" s="638" t="s">
        <v>47</v>
      </c>
      <c r="W5" s="633" t="s">
        <v>184</v>
      </c>
      <c r="X5" s="631" t="s">
        <v>141</v>
      </c>
      <c r="Y5" s="631"/>
      <c r="Z5" s="631"/>
      <c r="AA5" s="628" t="s">
        <v>47</v>
      </c>
      <c r="AB5" s="630" t="s">
        <v>184</v>
      </c>
      <c r="AC5" s="631" t="s">
        <v>141</v>
      </c>
      <c r="AD5" s="631"/>
      <c r="AE5" s="631"/>
      <c r="AF5" s="626" t="s">
        <v>47</v>
      </c>
      <c r="AG5" s="633" t="s">
        <v>184</v>
      </c>
      <c r="AH5" s="631" t="s">
        <v>141</v>
      </c>
      <c r="AI5" s="631"/>
      <c r="AJ5" s="631"/>
      <c r="AK5" s="626" t="s">
        <v>47</v>
      </c>
    </row>
    <row r="6" spans="1:37" ht="12.75" customHeight="1" thickBot="1">
      <c r="A6" s="641"/>
      <c r="B6" s="644"/>
      <c r="C6" s="649"/>
      <c r="D6" s="95" t="s">
        <v>131</v>
      </c>
      <c r="E6" s="95" t="s">
        <v>140</v>
      </c>
      <c r="F6" s="95" t="s">
        <v>47</v>
      </c>
      <c r="G6" s="635"/>
      <c r="H6" s="636"/>
      <c r="I6" s="95" t="s">
        <v>131</v>
      </c>
      <c r="J6" s="95" t="s">
        <v>140</v>
      </c>
      <c r="K6" s="95" t="s">
        <v>47</v>
      </c>
      <c r="L6" s="635"/>
      <c r="M6" s="636"/>
      <c r="N6" s="95" t="s">
        <v>131</v>
      </c>
      <c r="O6" s="95" t="s">
        <v>140</v>
      </c>
      <c r="P6" s="95" t="s">
        <v>47</v>
      </c>
      <c r="Q6" s="635"/>
      <c r="R6" s="636"/>
      <c r="S6" s="95" t="s">
        <v>131</v>
      </c>
      <c r="T6" s="95" t="s">
        <v>140</v>
      </c>
      <c r="U6" s="95" t="s">
        <v>47</v>
      </c>
      <c r="V6" s="638"/>
      <c r="W6" s="637"/>
      <c r="X6" s="577" t="s">
        <v>131</v>
      </c>
      <c r="Y6" s="577" t="s">
        <v>140</v>
      </c>
      <c r="Z6" s="577" t="s">
        <v>47</v>
      </c>
      <c r="AA6" s="629"/>
      <c r="AB6" s="629"/>
      <c r="AC6" s="577" t="s">
        <v>131</v>
      </c>
      <c r="AD6" s="577" t="s">
        <v>140</v>
      </c>
      <c r="AE6" s="577" t="s">
        <v>47</v>
      </c>
      <c r="AF6" s="632"/>
      <c r="AG6" s="634"/>
      <c r="AH6" s="589" t="s">
        <v>131</v>
      </c>
      <c r="AI6" s="589" t="s">
        <v>140</v>
      </c>
      <c r="AJ6" s="589" t="s">
        <v>47</v>
      </c>
      <c r="AK6" s="627"/>
    </row>
    <row r="7" spans="1:37" ht="18" customHeight="1">
      <c r="A7" s="243">
        <v>1</v>
      </c>
      <c r="B7" s="244" t="s">
        <v>21</v>
      </c>
      <c r="C7" s="224"/>
      <c r="D7" s="106"/>
      <c r="E7" s="218"/>
      <c r="F7" s="218"/>
      <c r="G7" s="227"/>
      <c r="H7" s="226"/>
      <c r="I7" s="106"/>
      <c r="J7" s="106"/>
      <c r="K7" s="106"/>
      <c r="L7" s="227"/>
      <c r="M7" s="226"/>
      <c r="N7" s="106"/>
      <c r="O7" s="95"/>
      <c r="P7" s="95"/>
      <c r="Q7" s="235"/>
      <c r="R7" s="237"/>
      <c r="S7" s="95"/>
      <c r="T7" s="95"/>
      <c r="U7" s="95"/>
      <c r="V7" s="235"/>
      <c r="W7" s="549"/>
      <c r="X7" s="550"/>
      <c r="Y7" s="550"/>
      <c r="Z7" s="550"/>
      <c r="AA7" s="551"/>
      <c r="AB7" s="552"/>
      <c r="AC7" s="550"/>
      <c r="AD7" s="550"/>
      <c r="AE7" s="550"/>
      <c r="AF7" s="585"/>
      <c r="AG7" s="552"/>
      <c r="AH7" s="550"/>
      <c r="AI7" s="550"/>
      <c r="AJ7" s="550"/>
      <c r="AK7" s="551"/>
    </row>
    <row r="8" spans="1:43" ht="18" customHeight="1">
      <c r="A8" s="239">
        <v>2</v>
      </c>
      <c r="B8" s="240" t="s">
        <v>22</v>
      </c>
      <c r="C8" s="220">
        <v>2239333</v>
      </c>
      <c r="D8" s="219">
        <v>13695960</v>
      </c>
      <c r="E8" s="220">
        <v>50667662</v>
      </c>
      <c r="F8" s="219">
        <v>64363622</v>
      </c>
      <c r="G8" s="229">
        <v>66602955</v>
      </c>
      <c r="H8" s="228">
        <f>'Anne-8'!O10</f>
        <v>2060296</v>
      </c>
      <c r="I8" s="219">
        <f>'Anne-7'!N10</f>
        <v>12463963</v>
      </c>
      <c r="J8" s="219">
        <f>'Anne-6'!Z10</f>
        <v>53918846</v>
      </c>
      <c r="K8" s="219">
        <f>SUM(I8:J8)</f>
        <v>66382809</v>
      </c>
      <c r="L8" s="229">
        <f>K8+H8</f>
        <v>68443105</v>
      </c>
      <c r="M8" s="228">
        <v>1848510</v>
      </c>
      <c r="N8" s="219">
        <v>90141</v>
      </c>
      <c r="O8" s="221">
        <v>9290023</v>
      </c>
      <c r="P8" s="219">
        <v>9380164</v>
      </c>
      <c r="Q8" s="229">
        <v>11228674</v>
      </c>
      <c r="R8" s="228">
        <f>'Anne-8'!D10</f>
        <v>1673529</v>
      </c>
      <c r="S8" s="219">
        <f>'Anne-7'!F10</f>
        <v>76157</v>
      </c>
      <c r="T8" s="219">
        <f>'Anne-6'!D10</f>
        <v>9710503</v>
      </c>
      <c r="U8" s="219">
        <f>SUM(S8:T8)</f>
        <v>9786660</v>
      </c>
      <c r="V8" s="229">
        <f>U8+R8</f>
        <v>11460189</v>
      </c>
      <c r="W8" s="553">
        <f>H8-C8</f>
        <v>-179037</v>
      </c>
      <c r="X8" s="554">
        <f>I8-D8</f>
        <v>-1231997</v>
      </c>
      <c r="Y8" s="554">
        <f>J8-E8</f>
        <v>3251184</v>
      </c>
      <c r="Z8" s="554">
        <f>SUM(X8:Y8)</f>
        <v>2019187</v>
      </c>
      <c r="AA8" s="555">
        <f>Z8+W8</f>
        <v>1840150</v>
      </c>
      <c r="AB8" s="556">
        <f>R8-M8</f>
        <v>-174981</v>
      </c>
      <c r="AC8" s="554">
        <f>S8-N8</f>
        <v>-13984</v>
      </c>
      <c r="AD8" s="554">
        <f>T8-O8</f>
        <v>420480</v>
      </c>
      <c r="AE8" s="554">
        <f>SUM(AC8:AD8)</f>
        <v>406496</v>
      </c>
      <c r="AF8" s="586">
        <f>AE8+AB8</f>
        <v>231515</v>
      </c>
      <c r="AG8" s="591" t="s">
        <v>130</v>
      </c>
      <c r="AH8" s="590" t="s">
        <v>130</v>
      </c>
      <c r="AI8" s="558">
        <f aca="true" t="shared" si="0" ref="AI8:AK9">AD8/Y8*100</f>
        <v>12.93313451345725</v>
      </c>
      <c r="AJ8" s="558">
        <f t="shared" si="0"/>
        <v>20.131666854035807</v>
      </c>
      <c r="AK8" s="559">
        <f t="shared" si="0"/>
        <v>12.581311306143522</v>
      </c>
      <c r="AO8">
        <v>85.46325335526555</v>
      </c>
      <c r="AP8">
        <v>9.973009042025277</v>
      </c>
      <c r="AQ8">
        <v>13.928465248806072</v>
      </c>
    </row>
    <row r="9" spans="1:43" ht="18" customHeight="1">
      <c r="A9" s="239">
        <v>3</v>
      </c>
      <c r="B9" s="240" t="s">
        <v>23</v>
      </c>
      <c r="C9" s="220">
        <v>194155</v>
      </c>
      <c r="D9" s="219">
        <v>91663</v>
      </c>
      <c r="E9" s="220">
        <v>14296001</v>
      </c>
      <c r="F9" s="219">
        <v>14387664</v>
      </c>
      <c r="G9" s="229">
        <v>14581819</v>
      </c>
      <c r="H9" s="228">
        <f>'Anne-8'!O11</f>
        <v>186379</v>
      </c>
      <c r="I9" s="219">
        <f>'Anne-7'!N11</f>
        <v>95628</v>
      </c>
      <c r="J9" s="219">
        <f>'Anne-6'!Z11</f>
        <v>15114931</v>
      </c>
      <c r="K9" s="219">
        <f aca="true" t="shared" si="1" ref="K9:K35">SUM(I9:J9)</f>
        <v>15210559</v>
      </c>
      <c r="L9" s="229">
        <f aca="true" t="shared" si="2" ref="L9:L35">K9+H9</f>
        <v>15396938</v>
      </c>
      <c r="M9" s="228">
        <v>193915</v>
      </c>
      <c r="N9" s="219">
        <v>91663</v>
      </c>
      <c r="O9" s="221">
        <v>1144499</v>
      </c>
      <c r="P9" s="219">
        <v>1236162</v>
      </c>
      <c r="Q9" s="229">
        <v>1430077</v>
      </c>
      <c r="R9" s="228">
        <f>'Anne-8'!D11</f>
        <v>185719</v>
      </c>
      <c r="S9" s="219">
        <f>'Anne-7'!F11</f>
        <v>95628</v>
      </c>
      <c r="T9" s="219">
        <f>'Anne-6'!D11</f>
        <v>1157925</v>
      </c>
      <c r="U9" s="219">
        <f aca="true" t="shared" si="3" ref="U9:U32">SUM(S9:T9)</f>
        <v>1253553</v>
      </c>
      <c r="V9" s="229">
        <f aca="true" t="shared" si="4" ref="V9:V32">U9+R9</f>
        <v>1439272</v>
      </c>
      <c r="W9" s="553">
        <f aca="true" t="shared" si="5" ref="W9:Y35">H9-C9</f>
        <v>-7776</v>
      </c>
      <c r="X9" s="554">
        <f t="shared" si="5"/>
        <v>3965</v>
      </c>
      <c r="Y9" s="554">
        <f t="shared" si="5"/>
        <v>818930</v>
      </c>
      <c r="Z9" s="554">
        <f aca="true" t="shared" si="6" ref="Z9:Z32">SUM(X9:Y9)</f>
        <v>822895</v>
      </c>
      <c r="AA9" s="555">
        <f aca="true" t="shared" si="7" ref="AA9:AA32">Z9+W9</f>
        <v>815119</v>
      </c>
      <c r="AB9" s="556">
        <f aca="true" t="shared" si="8" ref="AB9:AD32">R9-M9</f>
        <v>-8196</v>
      </c>
      <c r="AC9" s="554">
        <f t="shared" si="8"/>
        <v>3965</v>
      </c>
      <c r="AD9" s="554">
        <f t="shared" si="8"/>
        <v>13426</v>
      </c>
      <c r="AE9" s="554">
        <f aca="true" t="shared" si="9" ref="AE9:AE32">SUM(AC9:AD9)</f>
        <v>17391</v>
      </c>
      <c r="AF9" s="586">
        <f aca="true" t="shared" si="10" ref="AF9:AF32">AE9+AB9</f>
        <v>9195</v>
      </c>
      <c r="AG9" s="591" t="s">
        <v>130</v>
      </c>
      <c r="AH9" s="558">
        <f>AC9/X9*100</f>
        <v>100</v>
      </c>
      <c r="AI9" s="558">
        <f t="shared" si="0"/>
        <v>1.6394563637917772</v>
      </c>
      <c r="AJ9" s="558">
        <f t="shared" si="0"/>
        <v>2.1133923526087774</v>
      </c>
      <c r="AK9" s="559">
        <f t="shared" si="0"/>
        <v>1.1280561488567926</v>
      </c>
      <c r="AO9">
        <v>99.88170322833729</v>
      </c>
      <c r="AP9">
        <v>13.373098009981026</v>
      </c>
      <c r="AQ9">
        <v>16.59996513359264</v>
      </c>
    </row>
    <row r="10" spans="1:43" ht="18" customHeight="1">
      <c r="A10" s="239">
        <v>4</v>
      </c>
      <c r="B10" s="240" t="s">
        <v>24</v>
      </c>
      <c r="C10" s="220">
        <v>394129</v>
      </c>
      <c r="D10" s="219">
        <v>7510011</v>
      </c>
      <c r="E10" s="220">
        <v>52791848</v>
      </c>
      <c r="F10" s="219">
        <v>60301859</v>
      </c>
      <c r="G10" s="229">
        <v>60695988</v>
      </c>
      <c r="H10" s="228">
        <f>'Anne-8'!O12</f>
        <v>379348</v>
      </c>
      <c r="I10" s="219">
        <f>'Anne-7'!N12</f>
        <v>6355856</v>
      </c>
      <c r="J10" s="219">
        <f>'Anne-6'!Z12</f>
        <v>53711608</v>
      </c>
      <c r="K10" s="219">
        <f t="shared" si="1"/>
        <v>60067464</v>
      </c>
      <c r="L10" s="229">
        <f t="shared" si="2"/>
        <v>60446812</v>
      </c>
      <c r="M10" s="228">
        <v>378374</v>
      </c>
      <c r="N10" s="219">
        <v>216532</v>
      </c>
      <c r="O10" s="221">
        <v>5690559</v>
      </c>
      <c r="P10" s="219">
        <v>5907091</v>
      </c>
      <c r="Q10" s="229">
        <v>6285465</v>
      </c>
      <c r="R10" s="228">
        <f>'Anne-8'!D12</f>
        <v>362103</v>
      </c>
      <c r="S10" s="219">
        <f>'Anne-7'!F12</f>
        <v>204934</v>
      </c>
      <c r="T10" s="219">
        <f>'Anne-6'!D12</f>
        <v>2972643</v>
      </c>
      <c r="U10" s="219">
        <f t="shared" si="3"/>
        <v>3177577</v>
      </c>
      <c r="V10" s="229">
        <f t="shared" si="4"/>
        <v>3539680</v>
      </c>
      <c r="W10" s="553">
        <f t="shared" si="5"/>
        <v>-14781</v>
      </c>
      <c r="X10" s="554">
        <f t="shared" si="5"/>
        <v>-1154155</v>
      </c>
      <c r="Y10" s="554">
        <f t="shared" si="5"/>
        <v>919760</v>
      </c>
      <c r="Z10" s="554">
        <f t="shared" si="6"/>
        <v>-234395</v>
      </c>
      <c r="AA10" s="555">
        <f t="shared" si="7"/>
        <v>-249176</v>
      </c>
      <c r="AB10" s="556">
        <f t="shared" si="8"/>
        <v>-16271</v>
      </c>
      <c r="AC10" s="554">
        <f t="shared" si="8"/>
        <v>-11598</v>
      </c>
      <c r="AD10" s="561">
        <f t="shared" si="8"/>
        <v>-2717916</v>
      </c>
      <c r="AE10" s="554">
        <f t="shared" si="9"/>
        <v>-2729514</v>
      </c>
      <c r="AF10" s="586">
        <f t="shared" si="10"/>
        <v>-2745785</v>
      </c>
      <c r="AG10" s="591" t="s">
        <v>130</v>
      </c>
      <c r="AH10" s="590" t="s">
        <v>130</v>
      </c>
      <c r="AI10" s="590" t="s">
        <v>130</v>
      </c>
      <c r="AJ10" s="590" t="s">
        <v>130</v>
      </c>
      <c r="AK10" s="560" t="s">
        <v>130</v>
      </c>
      <c r="AO10">
        <v>99.32336053407091</v>
      </c>
      <c r="AP10">
        <v>13.252266124180826</v>
      </c>
      <c r="AQ10">
        <v>16.478579817494627</v>
      </c>
    </row>
    <row r="11" spans="1:43" ht="18" customHeight="1">
      <c r="A11" s="239">
        <v>5</v>
      </c>
      <c r="B11" s="240" t="s">
        <v>25</v>
      </c>
      <c r="C11" s="220">
        <v>0</v>
      </c>
      <c r="D11" s="219">
        <v>0</v>
      </c>
      <c r="E11" s="220">
        <v>0</v>
      </c>
      <c r="F11" s="219">
        <v>0</v>
      </c>
      <c r="G11" s="229">
        <v>0</v>
      </c>
      <c r="H11" s="228">
        <f>'Anne-8'!O13</f>
        <v>0</v>
      </c>
      <c r="I11" s="219">
        <f>'Anne-7'!N13</f>
        <v>0</v>
      </c>
      <c r="J11" s="219">
        <f>'Anne-6'!Z13</f>
        <v>0</v>
      </c>
      <c r="K11" s="219">
        <f t="shared" si="1"/>
        <v>0</v>
      </c>
      <c r="L11" s="229">
        <f t="shared" si="2"/>
        <v>0</v>
      </c>
      <c r="M11" s="228">
        <v>0</v>
      </c>
      <c r="N11" s="219">
        <v>0</v>
      </c>
      <c r="O11" s="221">
        <v>0</v>
      </c>
      <c r="P11" s="219">
        <v>0</v>
      </c>
      <c r="Q11" s="229">
        <v>0</v>
      </c>
      <c r="R11" s="228">
        <f>'Anne-8'!D13</f>
        <v>0</v>
      </c>
      <c r="S11" s="219">
        <f>'Anne-7'!F13</f>
        <v>0</v>
      </c>
      <c r="T11" s="219">
        <f>'Anne-6'!D13</f>
        <v>0</v>
      </c>
      <c r="U11" s="219">
        <f t="shared" si="3"/>
        <v>0</v>
      </c>
      <c r="V11" s="229">
        <f t="shared" si="4"/>
        <v>0</v>
      </c>
      <c r="W11" s="553">
        <f t="shared" si="5"/>
        <v>0</v>
      </c>
      <c r="X11" s="554">
        <f t="shared" si="5"/>
        <v>0</v>
      </c>
      <c r="Y11" s="554">
        <f t="shared" si="5"/>
        <v>0</v>
      </c>
      <c r="Z11" s="554">
        <f t="shared" si="6"/>
        <v>0</v>
      </c>
      <c r="AA11" s="555">
        <f t="shared" si="7"/>
        <v>0</v>
      </c>
      <c r="AB11" s="556">
        <f t="shared" si="8"/>
        <v>0</v>
      </c>
      <c r="AC11" s="554">
        <f t="shared" si="8"/>
        <v>0</v>
      </c>
      <c r="AD11" s="554">
        <f t="shared" si="8"/>
        <v>0</v>
      </c>
      <c r="AE11" s="554">
        <f t="shared" si="9"/>
        <v>0</v>
      </c>
      <c r="AF11" s="586">
        <f t="shared" si="10"/>
        <v>0</v>
      </c>
      <c r="AG11" s="557"/>
      <c r="AH11" s="558"/>
      <c r="AI11" s="558"/>
      <c r="AJ11" s="558"/>
      <c r="AK11" s="559"/>
      <c r="AO11">
        <v>89.71517828931651</v>
      </c>
      <c r="AP11">
        <v>10.03163667197979</v>
      </c>
      <c r="AQ11">
        <v>15.029642198490874</v>
      </c>
    </row>
    <row r="12" spans="1:43" ht="18" customHeight="1">
      <c r="A12" s="239">
        <v>6</v>
      </c>
      <c r="B12" s="240" t="s">
        <v>26</v>
      </c>
      <c r="C12" s="220">
        <v>1792000</v>
      </c>
      <c r="D12" s="219">
        <v>10143980</v>
      </c>
      <c r="E12" s="220">
        <v>41549384</v>
      </c>
      <c r="F12" s="219">
        <v>51693364</v>
      </c>
      <c r="G12" s="229">
        <v>53485364</v>
      </c>
      <c r="H12" s="228">
        <f>'Anne-8'!O14</f>
        <v>1695196</v>
      </c>
      <c r="I12" s="219">
        <f>'Anne-7'!N14</f>
        <v>9855754</v>
      </c>
      <c r="J12" s="219">
        <f>'Anne-6'!Z14</f>
        <v>44069293</v>
      </c>
      <c r="K12" s="219">
        <f t="shared" si="1"/>
        <v>53925047</v>
      </c>
      <c r="L12" s="229">
        <f t="shared" si="2"/>
        <v>55620243</v>
      </c>
      <c r="M12" s="228">
        <v>1565727</v>
      </c>
      <c r="N12" s="219">
        <v>119315</v>
      </c>
      <c r="O12" s="221">
        <v>4179707</v>
      </c>
      <c r="P12" s="219">
        <v>4299022</v>
      </c>
      <c r="Q12" s="229">
        <v>5864749</v>
      </c>
      <c r="R12" s="228">
        <f>'Anne-8'!D14</f>
        <v>1468465</v>
      </c>
      <c r="S12" s="219">
        <f>'Anne-7'!F14</f>
        <v>103651</v>
      </c>
      <c r="T12" s="219">
        <f>'Anne-6'!D14</f>
        <v>4317163</v>
      </c>
      <c r="U12" s="219">
        <f t="shared" si="3"/>
        <v>4420814</v>
      </c>
      <c r="V12" s="229">
        <f t="shared" si="4"/>
        <v>5889279</v>
      </c>
      <c r="W12" s="553">
        <f t="shared" si="5"/>
        <v>-96804</v>
      </c>
      <c r="X12" s="554">
        <f t="shared" si="5"/>
        <v>-288226</v>
      </c>
      <c r="Y12" s="554">
        <f t="shared" si="5"/>
        <v>2519909</v>
      </c>
      <c r="Z12" s="554">
        <f t="shared" si="6"/>
        <v>2231683</v>
      </c>
      <c r="AA12" s="555">
        <f t="shared" si="7"/>
        <v>2134879</v>
      </c>
      <c r="AB12" s="556">
        <f t="shared" si="8"/>
        <v>-97262</v>
      </c>
      <c r="AC12" s="554">
        <f t="shared" si="8"/>
        <v>-15664</v>
      </c>
      <c r="AD12" s="554">
        <f t="shared" si="8"/>
        <v>137456</v>
      </c>
      <c r="AE12" s="554">
        <f t="shared" si="9"/>
        <v>121792</v>
      </c>
      <c r="AF12" s="586">
        <f t="shared" si="10"/>
        <v>24530</v>
      </c>
      <c r="AG12" s="591" t="s">
        <v>130</v>
      </c>
      <c r="AH12" s="590" t="s">
        <v>130</v>
      </c>
      <c r="AI12" s="558">
        <f aca="true" t="shared" si="11" ref="AI12:AK13">AD12/Y12*100</f>
        <v>5.454800153497606</v>
      </c>
      <c r="AJ12" s="558">
        <f t="shared" si="11"/>
        <v>5.45740591293656</v>
      </c>
      <c r="AK12" s="559">
        <f t="shared" si="11"/>
        <v>1.149011255438833</v>
      </c>
      <c r="AO12">
        <v>95.69360232241944</v>
      </c>
      <c r="AP12">
        <v>17.919511565013803</v>
      </c>
      <c r="AQ12">
        <v>22.329111314874737</v>
      </c>
    </row>
    <row r="13" spans="1:43" ht="18" customHeight="1">
      <c r="A13" s="239">
        <v>7</v>
      </c>
      <c r="B13" s="240" t="s">
        <v>27</v>
      </c>
      <c r="C13" s="220">
        <v>560474</v>
      </c>
      <c r="D13" s="219">
        <v>4934119</v>
      </c>
      <c r="E13" s="220">
        <v>14609470</v>
      </c>
      <c r="F13" s="219">
        <v>19543589</v>
      </c>
      <c r="G13" s="229">
        <v>20104063</v>
      </c>
      <c r="H13" s="228">
        <f>'Anne-8'!O15</f>
        <v>508193</v>
      </c>
      <c r="I13" s="219">
        <f>'Anne-7'!N15</f>
        <v>4872335</v>
      </c>
      <c r="J13" s="219">
        <f>'Anne-6'!Z15</f>
        <v>15874781</v>
      </c>
      <c r="K13" s="219">
        <f t="shared" si="1"/>
        <v>20747116</v>
      </c>
      <c r="L13" s="229">
        <f t="shared" si="2"/>
        <v>21255309</v>
      </c>
      <c r="M13" s="228">
        <v>504057</v>
      </c>
      <c r="N13" s="219">
        <v>20731</v>
      </c>
      <c r="O13" s="221">
        <v>3089520</v>
      </c>
      <c r="P13" s="219">
        <v>3110251</v>
      </c>
      <c r="Q13" s="229">
        <v>3614308</v>
      </c>
      <c r="R13" s="228">
        <f>'Anne-8'!D15</f>
        <v>458947</v>
      </c>
      <c r="S13" s="219">
        <f>'Anne-7'!F15</f>
        <v>16931</v>
      </c>
      <c r="T13" s="219">
        <f>'Anne-6'!D15</f>
        <v>3240005</v>
      </c>
      <c r="U13" s="219">
        <f t="shared" si="3"/>
        <v>3256936</v>
      </c>
      <c r="V13" s="229">
        <f t="shared" si="4"/>
        <v>3715883</v>
      </c>
      <c r="W13" s="553">
        <f t="shared" si="5"/>
        <v>-52281</v>
      </c>
      <c r="X13" s="554">
        <f t="shared" si="5"/>
        <v>-61784</v>
      </c>
      <c r="Y13" s="554">
        <f t="shared" si="5"/>
        <v>1265311</v>
      </c>
      <c r="Z13" s="554">
        <f t="shared" si="6"/>
        <v>1203527</v>
      </c>
      <c r="AA13" s="555">
        <f t="shared" si="7"/>
        <v>1151246</v>
      </c>
      <c r="AB13" s="556">
        <f t="shared" si="8"/>
        <v>-45110</v>
      </c>
      <c r="AC13" s="554">
        <f t="shared" si="8"/>
        <v>-3800</v>
      </c>
      <c r="AD13" s="554">
        <f t="shared" si="8"/>
        <v>150485</v>
      </c>
      <c r="AE13" s="554">
        <f t="shared" si="9"/>
        <v>146685</v>
      </c>
      <c r="AF13" s="586">
        <f t="shared" si="10"/>
        <v>101575</v>
      </c>
      <c r="AG13" s="591" t="s">
        <v>130</v>
      </c>
      <c r="AH13" s="590" t="s">
        <v>130</v>
      </c>
      <c r="AI13" s="558">
        <f t="shared" si="11"/>
        <v>11.893123508765829</v>
      </c>
      <c r="AJ13" s="558">
        <f t="shared" si="11"/>
        <v>12.187927649317382</v>
      </c>
      <c r="AK13" s="560">
        <f t="shared" si="11"/>
        <v>8.823049113742849</v>
      </c>
      <c r="AO13">
        <v>98.71633955502381</v>
      </c>
      <c r="AP13">
        <v>26.07561748257265</v>
      </c>
      <c r="AQ13">
        <v>31.097108389452327</v>
      </c>
    </row>
    <row r="14" spans="1:43" ht="18" customHeight="1">
      <c r="A14" s="239">
        <v>8</v>
      </c>
      <c r="B14" s="240" t="s">
        <v>28</v>
      </c>
      <c r="C14" s="220">
        <v>280669</v>
      </c>
      <c r="D14" s="219">
        <v>235471</v>
      </c>
      <c r="E14" s="220">
        <v>6779872</v>
      </c>
      <c r="F14" s="219">
        <v>7015343</v>
      </c>
      <c r="G14" s="229">
        <v>7296012</v>
      </c>
      <c r="H14" s="228">
        <f>'Anne-8'!O16</f>
        <v>257693</v>
      </c>
      <c r="I14" s="219">
        <f>'Anne-7'!N16</f>
        <v>183510</v>
      </c>
      <c r="J14" s="219">
        <f>'Anne-6'!Z16</f>
        <v>6971617</v>
      </c>
      <c r="K14" s="219">
        <f t="shared" si="1"/>
        <v>7155127</v>
      </c>
      <c r="L14" s="229">
        <f t="shared" si="2"/>
        <v>7412820</v>
      </c>
      <c r="M14" s="228">
        <v>273941</v>
      </c>
      <c r="N14" s="219">
        <v>57959</v>
      </c>
      <c r="O14" s="221">
        <v>1576204</v>
      </c>
      <c r="P14" s="219">
        <v>1634163</v>
      </c>
      <c r="Q14" s="229">
        <v>1908104</v>
      </c>
      <c r="R14" s="228">
        <f>'Anne-8'!D16</f>
        <v>250500</v>
      </c>
      <c r="S14" s="219">
        <f>'Anne-7'!F16</f>
        <v>52099</v>
      </c>
      <c r="T14" s="219">
        <f>'Anne-6'!D16</f>
        <v>1475697</v>
      </c>
      <c r="U14" s="219">
        <f t="shared" si="3"/>
        <v>1527796</v>
      </c>
      <c r="V14" s="229">
        <f t="shared" si="4"/>
        <v>1778296</v>
      </c>
      <c r="W14" s="553">
        <f t="shared" si="5"/>
        <v>-22976</v>
      </c>
      <c r="X14" s="554">
        <f t="shared" si="5"/>
        <v>-51961</v>
      </c>
      <c r="Y14" s="554">
        <f t="shared" si="5"/>
        <v>191745</v>
      </c>
      <c r="Z14" s="554">
        <f t="shared" si="6"/>
        <v>139784</v>
      </c>
      <c r="AA14" s="555">
        <f t="shared" si="7"/>
        <v>116808</v>
      </c>
      <c r="AB14" s="556">
        <f t="shared" si="8"/>
        <v>-23441</v>
      </c>
      <c r="AC14" s="554">
        <f t="shared" si="8"/>
        <v>-5860</v>
      </c>
      <c r="AD14" s="554">
        <f t="shared" si="8"/>
        <v>-100507</v>
      </c>
      <c r="AE14" s="554">
        <f t="shared" si="9"/>
        <v>-106367</v>
      </c>
      <c r="AF14" s="586">
        <f t="shared" si="10"/>
        <v>-129808</v>
      </c>
      <c r="AG14" s="591" t="s">
        <v>130</v>
      </c>
      <c r="AH14" s="590" t="s">
        <v>130</v>
      </c>
      <c r="AI14" s="590" t="s">
        <v>130</v>
      </c>
      <c r="AJ14" s="590" t="s">
        <v>130</v>
      </c>
      <c r="AK14" s="562" t="s">
        <v>130</v>
      </c>
      <c r="AO14">
        <v>99.97493171052176</v>
      </c>
      <c r="AP14">
        <v>17.69181405203981</v>
      </c>
      <c r="AQ14">
        <v>20.995985393922048</v>
      </c>
    </row>
    <row r="15" spans="1:43" ht="18" customHeight="1">
      <c r="A15" s="239">
        <v>9</v>
      </c>
      <c r="B15" s="240" t="s">
        <v>29</v>
      </c>
      <c r="C15" s="220">
        <v>196811</v>
      </c>
      <c r="D15" s="219">
        <v>694581</v>
      </c>
      <c r="E15" s="220">
        <v>6150026</v>
      </c>
      <c r="F15" s="219">
        <v>6844607</v>
      </c>
      <c r="G15" s="229">
        <v>7041418</v>
      </c>
      <c r="H15" s="228">
        <f>'Anne-8'!O17</f>
        <v>188524</v>
      </c>
      <c r="I15" s="219">
        <f>'Anne-7'!N17</f>
        <v>778541</v>
      </c>
      <c r="J15" s="219">
        <f>'Anne-6'!Z17</f>
        <v>6901137</v>
      </c>
      <c r="K15" s="219">
        <f t="shared" si="1"/>
        <v>7679678</v>
      </c>
      <c r="L15" s="229">
        <f t="shared" si="2"/>
        <v>7868202</v>
      </c>
      <c r="M15" s="228">
        <v>196811</v>
      </c>
      <c r="N15" s="219">
        <v>69668</v>
      </c>
      <c r="O15" s="221">
        <v>1089835</v>
      </c>
      <c r="P15" s="219">
        <v>1159503</v>
      </c>
      <c r="Q15" s="229">
        <v>1356314</v>
      </c>
      <c r="R15" s="228">
        <f>'Anne-8'!D17</f>
        <v>188524</v>
      </c>
      <c r="S15" s="219">
        <f>'Anne-7'!F17</f>
        <v>63663</v>
      </c>
      <c r="T15" s="219">
        <f>'Anne-6'!D17</f>
        <v>1182830</v>
      </c>
      <c r="U15" s="219">
        <f t="shared" si="3"/>
        <v>1246493</v>
      </c>
      <c r="V15" s="229">
        <f t="shared" si="4"/>
        <v>1435017</v>
      </c>
      <c r="W15" s="553">
        <f t="shared" si="5"/>
        <v>-8287</v>
      </c>
      <c r="X15" s="554">
        <f t="shared" si="5"/>
        <v>83960</v>
      </c>
      <c r="Y15" s="554">
        <f t="shared" si="5"/>
        <v>751111</v>
      </c>
      <c r="Z15" s="554">
        <f t="shared" si="6"/>
        <v>835071</v>
      </c>
      <c r="AA15" s="555">
        <f t="shared" si="7"/>
        <v>826784</v>
      </c>
      <c r="AB15" s="556">
        <f t="shared" si="8"/>
        <v>-8287</v>
      </c>
      <c r="AC15" s="554">
        <f t="shared" si="8"/>
        <v>-6005</v>
      </c>
      <c r="AD15" s="554">
        <f t="shared" si="8"/>
        <v>92995</v>
      </c>
      <c r="AE15" s="554">
        <f t="shared" si="9"/>
        <v>86990</v>
      </c>
      <c r="AF15" s="586">
        <f t="shared" si="10"/>
        <v>78703</v>
      </c>
      <c r="AG15" s="591" t="s">
        <v>130</v>
      </c>
      <c r="AH15" s="590" t="s">
        <v>130</v>
      </c>
      <c r="AI15" s="558">
        <f>AD15/Y15*100</f>
        <v>12.380992955768189</v>
      </c>
      <c r="AJ15" s="558">
        <f>AE15/Z15*100</f>
        <v>10.417078308311508</v>
      </c>
      <c r="AK15" s="559">
        <f>AF15/AA15*100</f>
        <v>9.5191730851105</v>
      </c>
      <c r="AO15">
        <v>75.65206922236172</v>
      </c>
      <c r="AP15">
        <v>10.352589008713837</v>
      </c>
      <c r="AQ15">
        <v>15.014375353947218</v>
      </c>
    </row>
    <row r="16" spans="1:43" ht="18" customHeight="1">
      <c r="A16" s="239">
        <v>10</v>
      </c>
      <c r="B16" s="240" t="s">
        <v>30</v>
      </c>
      <c r="C16" s="220">
        <v>0</v>
      </c>
      <c r="D16" s="219">
        <v>0</v>
      </c>
      <c r="E16" s="220">
        <v>0</v>
      </c>
      <c r="F16" s="219">
        <v>0</v>
      </c>
      <c r="G16" s="229">
        <v>0</v>
      </c>
      <c r="H16" s="228">
        <f>'Anne-8'!O18</f>
        <v>0</v>
      </c>
      <c r="I16" s="219">
        <f>'Anne-7'!N18</f>
        <v>0</v>
      </c>
      <c r="J16" s="219">
        <f>'Anne-6'!Z18</f>
        <v>0</v>
      </c>
      <c r="K16" s="219">
        <f t="shared" si="1"/>
        <v>0</v>
      </c>
      <c r="L16" s="229">
        <f t="shared" si="2"/>
        <v>0</v>
      </c>
      <c r="M16" s="228">
        <v>0</v>
      </c>
      <c r="N16" s="219">
        <v>0</v>
      </c>
      <c r="O16" s="221">
        <v>0</v>
      </c>
      <c r="P16" s="219">
        <v>0</v>
      </c>
      <c r="Q16" s="229">
        <v>0</v>
      </c>
      <c r="R16" s="228">
        <f>'Anne-8'!D18</f>
        <v>0</v>
      </c>
      <c r="S16" s="219">
        <f>'Anne-7'!F18</f>
        <v>0</v>
      </c>
      <c r="T16" s="219">
        <f>'Anne-6'!D18</f>
        <v>0</v>
      </c>
      <c r="U16" s="219">
        <f t="shared" si="3"/>
        <v>0</v>
      </c>
      <c r="V16" s="229">
        <f t="shared" si="4"/>
        <v>0</v>
      </c>
      <c r="W16" s="553">
        <f t="shared" si="5"/>
        <v>0</v>
      </c>
      <c r="X16" s="554">
        <f t="shared" si="5"/>
        <v>0</v>
      </c>
      <c r="Y16" s="554">
        <f t="shared" si="5"/>
        <v>0</v>
      </c>
      <c r="Z16" s="554">
        <f t="shared" si="6"/>
        <v>0</v>
      </c>
      <c r="AA16" s="555">
        <f t="shared" si="7"/>
        <v>0</v>
      </c>
      <c r="AB16" s="556">
        <f t="shared" si="8"/>
        <v>0</v>
      </c>
      <c r="AC16" s="554">
        <f t="shared" si="8"/>
        <v>0</v>
      </c>
      <c r="AD16" s="554">
        <f t="shared" si="8"/>
        <v>0</v>
      </c>
      <c r="AE16" s="554">
        <f t="shared" si="9"/>
        <v>0</v>
      </c>
      <c r="AF16" s="586">
        <f t="shared" si="10"/>
        <v>0</v>
      </c>
      <c r="AG16" s="557"/>
      <c r="AH16" s="558"/>
      <c r="AI16" s="558"/>
      <c r="AJ16" s="558"/>
      <c r="AK16" s="559"/>
      <c r="AO16">
        <v>96.71233253626572</v>
      </c>
      <c r="AP16">
        <v>17.264711710347044</v>
      </c>
      <c r="AQ16">
        <v>27.509661239312265</v>
      </c>
    </row>
    <row r="17" spans="1:43" ht="18" customHeight="1">
      <c r="A17" s="239">
        <v>11</v>
      </c>
      <c r="B17" s="240" t="s">
        <v>31</v>
      </c>
      <c r="C17" s="220">
        <v>2443214</v>
      </c>
      <c r="D17" s="219">
        <v>14965866</v>
      </c>
      <c r="E17" s="220">
        <v>37948923</v>
      </c>
      <c r="F17" s="219">
        <v>52914789</v>
      </c>
      <c r="G17" s="229">
        <v>55358003</v>
      </c>
      <c r="H17" s="228">
        <f>'Anne-8'!O19</f>
        <v>2332389</v>
      </c>
      <c r="I17" s="219">
        <f>'Anne-7'!N19</f>
        <v>14335439</v>
      </c>
      <c r="J17" s="219">
        <f>'Anne-6'!Z19</f>
        <v>40450907</v>
      </c>
      <c r="K17" s="219">
        <f t="shared" si="1"/>
        <v>54786346</v>
      </c>
      <c r="L17" s="229">
        <f t="shared" si="2"/>
        <v>57118735</v>
      </c>
      <c r="M17" s="228">
        <v>1691273</v>
      </c>
      <c r="N17" s="219">
        <v>175759</v>
      </c>
      <c r="O17" s="221">
        <v>6951224</v>
      </c>
      <c r="P17" s="219">
        <v>7126983</v>
      </c>
      <c r="Q17" s="229">
        <v>8818256</v>
      </c>
      <c r="R17" s="228">
        <f>'Anne-8'!D19</f>
        <v>1558985</v>
      </c>
      <c r="S17" s="219">
        <f>'Anne-7'!F19</f>
        <v>138447</v>
      </c>
      <c r="T17" s="219">
        <f>'Anne-6'!D19</f>
        <v>7092497</v>
      </c>
      <c r="U17" s="219">
        <f t="shared" si="3"/>
        <v>7230944</v>
      </c>
      <c r="V17" s="229">
        <f t="shared" si="4"/>
        <v>8789929</v>
      </c>
      <c r="W17" s="553">
        <f t="shared" si="5"/>
        <v>-110825</v>
      </c>
      <c r="X17" s="554">
        <f t="shared" si="5"/>
        <v>-630427</v>
      </c>
      <c r="Y17" s="554">
        <f t="shared" si="5"/>
        <v>2501984</v>
      </c>
      <c r="Z17" s="554">
        <f t="shared" si="6"/>
        <v>1871557</v>
      </c>
      <c r="AA17" s="555">
        <f t="shared" si="7"/>
        <v>1760732</v>
      </c>
      <c r="AB17" s="556">
        <f t="shared" si="8"/>
        <v>-132288</v>
      </c>
      <c r="AC17" s="554">
        <f t="shared" si="8"/>
        <v>-37312</v>
      </c>
      <c r="AD17" s="554">
        <f t="shared" si="8"/>
        <v>141273</v>
      </c>
      <c r="AE17" s="554">
        <f t="shared" si="9"/>
        <v>103961</v>
      </c>
      <c r="AF17" s="586">
        <f t="shared" si="10"/>
        <v>-28327</v>
      </c>
      <c r="AG17" s="591" t="s">
        <v>130</v>
      </c>
      <c r="AH17" s="590" t="s">
        <v>130</v>
      </c>
      <c r="AI17" s="554">
        <f>AD17/Y17*100</f>
        <v>5.646438986020693</v>
      </c>
      <c r="AJ17" s="558">
        <f>AE17/Z17*100</f>
        <v>5.554786736391144</v>
      </c>
      <c r="AK17" s="560" t="s">
        <v>130</v>
      </c>
      <c r="AO17">
        <v>81.5098856428569</v>
      </c>
      <c r="AP17">
        <v>12.80210163746689</v>
      </c>
      <c r="AQ17">
        <v>15.972142356815294</v>
      </c>
    </row>
    <row r="18" spans="1:43" ht="18" customHeight="1">
      <c r="A18" s="239">
        <v>12</v>
      </c>
      <c r="B18" s="240" t="s">
        <v>32</v>
      </c>
      <c r="C18" s="220">
        <v>3064818</v>
      </c>
      <c r="D18" s="219">
        <v>5526180</v>
      </c>
      <c r="E18" s="220">
        <v>25166488</v>
      </c>
      <c r="F18" s="219">
        <v>30692668</v>
      </c>
      <c r="G18" s="229">
        <v>33757486</v>
      </c>
      <c r="H18" s="228">
        <f>'Anne-8'!O20</f>
        <v>2916944</v>
      </c>
      <c r="I18" s="219">
        <f>'Anne-7'!N20</f>
        <v>4557233</v>
      </c>
      <c r="J18" s="219">
        <f>'Anne-6'!Z20</f>
        <v>27025040</v>
      </c>
      <c r="K18" s="219">
        <f t="shared" si="1"/>
        <v>31582273</v>
      </c>
      <c r="L18" s="229">
        <f t="shared" si="2"/>
        <v>34499217</v>
      </c>
      <c r="M18" s="228">
        <v>2943505</v>
      </c>
      <c r="N18" s="219">
        <v>287469</v>
      </c>
      <c r="O18" s="221">
        <v>7435687</v>
      </c>
      <c r="P18" s="219">
        <v>7723156</v>
      </c>
      <c r="Q18" s="229">
        <v>10666661</v>
      </c>
      <c r="R18" s="228">
        <f>'Anne-8'!D20</f>
        <v>2803946</v>
      </c>
      <c r="S18" s="219">
        <f>'Anne-7'!F20</f>
        <v>268882</v>
      </c>
      <c r="T18" s="219">
        <f>'Anne-6'!D20</f>
        <v>8135691</v>
      </c>
      <c r="U18" s="219">
        <f t="shared" si="3"/>
        <v>8404573</v>
      </c>
      <c r="V18" s="229">
        <f t="shared" si="4"/>
        <v>11208519</v>
      </c>
      <c r="W18" s="553">
        <f t="shared" si="5"/>
        <v>-147874</v>
      </c>
      <c r="X18" s="554">
        <f t="shared" si="5"/>
        <v>-968947</v>
      </c>
      <c r="Y18" s="554">
        <f t="shared" si="5"/>
        <v>1858552</v>
      </c>
      <c r="Z18" s="554">
        <f t="shared" si="6"/>
        <v>889605</v>
      </c>
      <c r="AA18" s="555">
        <f t="shared" si="7"/>
        <v>741731</v>
      </c>
      <c r="AB18" s="556">
        <f t="shared" si="8"/>
        <v>-139559</v>
      </c>
      <c r="AC18" s="554">
        <f t="shared" si="8"/>
        <v>-18587</v>
      </c>
      <c r="AD18" s="554">
        <f t="shared" si="8"/>
        <v>700004</v>
      </c>
      <c r="AE18" s="554">
        <f t="shared" si="9"/>
        <v>681417</v>
      </c>
      <c r="AF18" s="586">
        <f t="shared" si="10"/>
        <v>541858</v>
      </c>
      <c r="AG18" s="591" t="s">
        <v>130</v>
      </c>
      <c r="AH18" s="590" t="s">
        <v>130</v>
      </c>
      <c r="AI18" s="558">
        <f>AD18/Y18*100</f>
        <v>37.66394483447329</v>
      </c>
      <c r="AJ18" s="558">
        <f>AE18/Z18*100</f>
        <v>76.59770347513785</v>
      </c>
      <c r="AK18" s="560">
        <f>AF18/AA18*100</f>
        <v>73.05316887119454</v>
      </c>
      <c r="AO18">
        <v>89.8634819992536</v>
      </c>
      <c r="AP18">
        <v>11.49175661994946</v>
      </c>
      <c r="AQ18">
        <v>16.70860410994606</v>
      </c>
    </row>
    <row r="19" spans="1:43" ht="18" customHeight="1">
      <c r="A19" s="239">
        <v>13</v>
      </c>
      <c r="B19" s="240" t="s">
        <v>33</v>
      </c>
      <c r="C19" s="220">
        <v>1120350</v>
      </c>
      <c r="D19" s="219">
        <v>8050554</v>
      </c>
      <c r="E19" s="220">
        <v>44113738</v>
      </c>
      <c r="F19" s="219">
        <v>52164292</v>
      </c>
      <c r="G19" s="229">
        <v>53284642</v>
      </c>
      <c r="H19" s="228">
        <f>'Anne-8'!O21</f>
        <v>1095458</v>
      </c>
      <c r="I19" s="219">
        <f>'Anne-7'!N21</f>
        <v>8742229</v>
      </c>
      <c r="J19" s="219">
        <f>'Anne-6'!Z21</f>
        <v>46541481</v>
      </c>
      <c r="K19" s="219">
        <f t="shared" si="1"/>
        <v>55283710</v>
      </c>
      <c r="L19" s="229">
        <f t="shared" si="2"/>
        <v>56379168</v>
      </c>
      <c r="M19" s="228">
        <v>835271</v>
      </c>
      <c r="N19" s="219">
        <v>213995</v>
      </c>
      <c r="O19" s="221">
        <v>5030875</v>
      </c>
      <c r="P19" s="219">
        <v>5244870</v>
      </c>
      <c r="Q19" s="229">
        <v>6080141</v>
      </c>
      <c r="R19" s="228">
        <f>'Anne-8'!D21</f>
        <v>826910</v>
      </c>
      <c r="S19" s="219">
        <f>'Anne-7'!F21</f>
        <v>188106</v>
      </c>
      <c r="T19" s="219">
        <f>'Anne-6'!D21</f>
        <v>4811830</v>
      </c>
      <c r="U19" s="219">
        <f t="shared" si="3"/>
        <v>4999936</v>
      </c>
      <c r="V19" s="229">
        <f t="shared" si="4"/>
        <v>5826846</v>
      </c>
      <c r="W19" s="553">
        <f t="shared" si="5"/>
        <v>-24892</v>
      </c>
      <c r="X19" s="554">
        <f t="shared" si="5"/>
        <v>691675</v>
      </c>
      <c r="Y19" s="554">
        <f t="shared" si="5"/>
        <v>2427743</v>
      </c>
      <c r="Z19" s="563">
        <f t="shared" si="6"/>
        <v>3119418</v>
      </c>
      <c r="AA19" s="555">
        <f t="shared" si="7"/>
        <v>3094526</v>
      </c>
      <c r="AB19" s="556">
        <f t="shared" si="8"/>
        <v>-8361</v>
      </c>
      <c r="AC19" s="554">
        <f t="shared" si="8"/>
        <v>-25889</v>
      </c>
      <c r="AD19" s="554">
        <f t="shared" si="8"/>
        <v>-219045</v>
      </c>
      <c r="AE19" s="554">
        <f t="shared" si="9"/>
        <v>-244934</v>
      </c>
      <c r="AF19" s="586">
        <f t="shared" si="10"/>
        <v>-253295</v>
      </c>
      <c r="AG19" s="591" t="s">
        <v>130</v>
      </c>
      <c r="AH19" s="590" t="s">
        <v>130</v>
      </c>
      <c r="AI19" s="590" t="s">
        <v>130</v>
      </c>
      <c r="AJ19" s="590" t="s">
        <v>130</v>
      </c>
      <c r="AK19" s="560" t="s">
        <v>130</v>
      </c>
      <c r="AO19">
        <v>99.97575199508901</v>
      </c>
      <c r="AP19">
        <v>19.937408595792004</v>
      </c>
      <c r="AQ19">
        <v>24.74620417337155</v>
      </c>
    </row>
    <row r="20" spans="1:43" ht="18" customHeight="1">
      <c r="A20" s="239">
        <v>14</v>
      </c>
      <c r="B20" s="240" t="s">
        <v>34</v>
      </c>
      <c r="C20" s="220">
        <v>2466436</v>
      </c>
      <c r="D20" s="219">
        <v>14977968</v>
      </c>
      <c r="E20" s="220">
        <v>53422397</v>
      </c>
      <c r="F20" s="219">
        <v>68400365</v>
      </c>
      <c r="G20" s="229">
        <v>70866801</v>
      </c>
      <c r="H20" s="228">
        <f>'Anne-8'!O22</f>
        <v>2326130</v>
      </c>
      <c r="I20" s="219">
        <f>'Anne-7'!N22</f>
        <v>13739819</v>
      </c>
      <c r="J20" s="219">
        <f>'Anne-6'!Z22</f>
        <v>57657524</v>
      </c>
      <c r="K20" s="219">
        <f t="shared" si="1"/>
        <v>71397343</v>
      </c>
      <c r="L20" s="229">
        <f t="shared" si="2"/>
        <v>73723473</v>
      </c>
      <c r="M20" s="228">
        <v>2046050</v>
      </c>
      <c r="N20" s="219">
        <v>151694</v>
      </c>
      <c r="O20" s="221">
        <v>6723903</v>
      </c>
      <c r="P20" s="219">
        <v>6875597</v>
      </c>
      <c r="Q20" s="229">
        <v>8921647</v>
      </c>
      <c r="R20" s="228">
        <f>'Anne-8'!D22</f>
        <v>1905299</v>
      </c>
      <c r="S20" s="219">
        <f>'Anne-7'!F22</f>
        <v>127181</v>
      </c>
      <c r="T20" s="219">
        <f>'Anne-6'!D22</f>
        <v>6542112</v>
      </c>
      <c r="U20" s="219">
        <f t="shared" si="3"/>
        <v>6669293</v>
      </c>
      <c r="V20" s="229">
        <f t="shared" si="4"/>
        <v>8574592</v>
      </c>
      <c r="W20" s="553">
        <f t="shared" si="5"/>
        <v>-140306</v>
      </c>
      <c r="X20" s="554">
        <f t="shared" si="5"/>
        <v>-1238149</v>
      </c>
      <c r="Y20" s="554">
        <f t="shared" si="5"/>
        <v>4235127</v>
      </c>
      <c r="Z20" s="554">
        <f t="shared" si="6"/>
        <v>2996978</v>
      </c>
      <c r="AA20" s="555">
        <f t="shared" si="7"/>
        <v>2856672</v>
      </c>
      <c r="AB20" s="556">
        <f t="shared" si="8"/>
        <v>-140751</v>
      </c>
      <c r="AC20" s="554">
        <f t="shared" si="8"/>
        <v>-24513</v>
      </c>
      <c r="AD20" s="554">
        <f t="shared" si="8"/>
        <v>-181791</v>
      </c>
      <c r="AE20" s="554">
        <f t="shared" si="9"/>
        <v>-206304</v>
      </c>
      <c r="AF20" s="586">
        <f t="shared" si="10"/>
        <v>-347055</v>
      </c>
      <c r="AG20" s="591" t="s">
        <v>130</v>
      </c>
      <c r="AH20" s="590" t="s">
        <v>130</v>
      </c>
      <c r="AI20" s="590" t="s">
        <v>130</v>
      </c>
      <c r="AJ20" s="590" t="s">
        <v>130</v>
      </c>
      <c r="AK20" s="560" t="s">
        <v>130</v>
      </c>
      <c r="AO20">
        <v>98.64886265123971</v>
      </c>
      <c r="AP20">
        <v>16.57914737280212</v>
      </c>
      <c r="AQ20">
        <v>19.950469763981925</v>
      </c>
    </row>
    <row r="21" spans="1:43" ht="18" customHeight="1">
      <c r="A21" s="239">
        <v>15</v>
      </c>
      <c r="B21" s="240" t="s">
        <v>35</v>
      </c>
      <c r="C21" s="220">
        <v>189884</v>
      </c>
      <c r="D21" s="219">
        <v>147381</v>
      </c>
      <c r="E21" s="220">
        <v>8813161</v>
      </c>
      <c r="F21" s="219">
        <v>8960542</v>
      </c>
      <c r="G21" s="229">
        <v>9150426</v>
      </c>
      <c r="H21" s="228">
        <f>'Anne-8'!O23</f>
        <v>142036</v>
      </c>
      <c r="I21" s="219">
        <f>'Anne-7'!N23</f>
        <v>153170</v>
      </c>
      <c r="J21" s="219">
        <f>'Anne-6'!Z23</f>
        <v>9168295</v>
      </c>
      <c r="K21" s="219">
        <f t="shared" si="1"/>
        <v>9321465</v>
      </c>
      <c r="L21" s="229">
        <f t="shared" si="2"/>
        <v>9463501</v>
      </c>
      <c r="M21" s="228">
        <v>189884</v>
      </c>
      <c r="N21" s="219">
        <v>147381</v>
      </c>
      <c r="O21" s="221">
        <v>1609217</v>
      </c>
      <c r="P21" s="219">
        <v>1756598</v>
      </c>
      <c r="Q21" s="229">
        <v>1946482</v>
      </c>
      <c r="R21" s="228">
        <f>'Anne-8'!D23</f>
        <v>142036</v>
      </c>
      <c r="S21" s="219">
        <f>'Anne-7'!F23</f>
        <v>153170</v>
      </c>
      <c r="T21" s="219">
        <f>'Anne-6'!D23</f>
        <v>1314884</v>
      </c>
      <c r="U21" s="219">
        <f t="shared" si="3"/>
        <v>1468054</v>
      </c>
      <c r="V21" s="229">
        <f t="shared" si="4"/>
        <v>1610090</v>
      </c>
      <c r="W21" s="553">
        <f t="shared" si="5"/>
        <v>-47848</v>
      </c>
      <c r="X21" s="554">
        <f t="shared" si="5"/>
        <v>5789</v>
      </c>
      <c r="Y21" s="554">
        <f t="shared" si="5"/>
        <v>355134</v>
      </c>
      <c r="Z21" s="554">
        <f t="shared" si="6"/>
        <v>360923</v>
      </c>
      <c r="AA21" s="555">
        <f t="shared" si="7"/>
        <v>313075</v>
      </c>
      <c r="AB21" s="556">
        <f t="shared" si="8"/>
        <v>-47848</v>
      </c>
      <c r="AC21" s="554">
        <f t="shared" si="8"/>
        <v>5789</v>
      </c>
      <c r="AD21" s="554">
        <f t="shared" si="8"/>
        <v>-294333</v>
      </c>
      <c r="AE21" s="554">
        <f t="shared" si="9"/>
        <v>-288544</v>
      </c>
      <c r="AF21" s="586">
        <f t="shared" si="10"/>
        <v>-336392</v>
      </c>
      <c r="AG21" s="591" t="s">
        <v>130</v>
      </c>
      <c r="AH21" s="558">
        <f>AC21/X21*100</f>
        <v>100</v>
      </c>
      <c r="AI21" s="590" t="s">
        <v>130</v>
      </c>
      <c r="AJ21" s="590" t="s">
        <v>130</v>
      </c>
      <c r="AK21" s="560" t="s">
        <v>130</v>
      </c>
      <c r="AO21">
        <v>80.07769387343261</v>
      </c>
      <c r="AP21">
        <v>18.339876018234108</v>
      </c>
      <c r="AQ21">
        <v>23.0490133083122</v>
      </c>
    </row>
    <row r="22" spans="1:43" ht="18" customHeight="1">
      <c r="A22" s="239">
        <v>16</v>
      </c>
      <c r="B22" s="240" t="s">
        <v>36</v>
      </c>
      <c r="C22" s="220">
        <v>0</v>
      </c>
      <c r="D22" s="219">
        <v>0</v>
      </c>
      <c r="E22" s="220">
        <v>0</v>
      </c>
      <c r="F22" s="219">
        <v>0</v>
      </c>
      <c r="G22" s="229">
        <v>0</v>
      </c>
      <c r="H22" s="228">
        <f>'Anne-8'!O24</f>
        <v>0</v>
      </c>
      <c r="I22" s="219">
        <f>'Anne-7'!N24</f>
        <v>0</v>
      </c>
      <c r="J22" s="219">
        <f>'Anne-6'!Z24</f>
        <v>0</v>
      </c>
      <c r="K22" s="219">
        <f t="shared" si="1"/>
        <v>0</v>
      </c>
      <c r="L22" s="229">
        <f t="shared" si="2"/>
        <v>0</v>
      </c>
      <c r="M22" s="228">
        <v>0</v>
      </c>
      <c r="N22" s="219">
        <v>0</v>
      </c>
      <c r="O22" s="221">
        <v>0</v>
      </c>
      <c r="P22" s="219">
        <v>0</v>
      </c>
      <c r="Q22" s="229">
        <v>0</v>
      </c>
      <c r="R22" s="228">
        <f>'Anne-8'!D24</f>
        <v>0</v>
      </c>
      <c r="S22" s="219">
        <f>'Anne-7'!F24</f>
        <v>0</v>
      </c>
      <c r="T22" s="219">
        <f>'Anne-6'!D24</f>
        <v>0</v>
      </c>
      <c r="U22" s="219">
        <f t="shared" si="3"/>
        <v>0</v>
      </c>
      <c r="V22" s="229">
        <f t="shared" si="4"/>
        <v>0</v>
      </c>
      <c r="W22" s="553">
        <f t="shared" si="5"/>
        <v>0</v>
      </c>
      <c r="X22" s="554">
        <f t="shared" si="5"/>
        <v>0</v>
      </c>
      <c r="Y22" s="554">
        <f t="shared" si="5"/>
        <v>0</v>
      </c>
      <c r="Z22" s="554">
        <f t="shared" si="6"/>
        <v>0</v>
      </c>
      <c r="AA22" s="555">
        <f t="shared" si="7"/>
        <v>0</v>
      </c>
      <c r="AB22" s="556">
        <f t="shared" si="8"/>
        <v>0</v>
      </c>
      <c r="AC22" s="554">
        <f t="shared" si="8"/>
        <v>0</v>
      </c>
      <c r="AD22" s="554">
        <f t="shared" si="8"/>
        <v>0</v>
      </c>
      <c r="AE22" s="554">
        <f t="shared" si="9"/>
        <v>0</v>
      </c>
      <c r="AF22" s="586">
        <f t="shared" si="10"/>
        <v>0</v>
      </c>
      <c r="AG22" s="557"/>
      <c r="AH22" s="558"/>
      <c r="AI22" s="558"/>
      <c r="AJ22" s="558"/>
      <c r="AK22" s="559"/>
      <c r="AO22">
        <v>92.5554236023741</v>
      </c>
      <c r="AP22">
        <v>12.704929295214363</v>
      </c>
      <c r="AQ22">
        <v>16.285865295148575</v>
      </c>
    </row>
    <row r="23" spans="1:43" ht="18" customHeight="1">
      <c r="A23" s="239">
        <v>17</v>
      </c>
      <c r="B23" s="240" t="s">
        <v>37</v>
      </c>
      <c r="C23" s="220">
        <v>374427</v>
      </c>
      <c r="D23" s="219">
        <v>2157463</v>
      </c>
      <c r="E23" s="220">
        <v>22444472</v>
      </c>
      <c r="F23" s="219">
        <v>24601935</v>
      </c>
      <c r="G23" s="229">
        <v>24976362</v>
      </c>
      <c r="H23" s="228">
        <f>'Anne-8'!O25</f>
        <v>350559</v>
      </c>
      <c r="I23" s="219">
        <f>'Anne-7'!N25</f>
        <v>2073273</v>
      </c>
      <c r="J23" s="219">
        <f>'Anne-6'!Z25</f>
        <v>23088686</v>
      </c>
      <c r="K23" s="219">
        <f t="shared" si="1"/>
        <v>25161959</v>
      </c>
      <c r="L23" s="229">
        <f t="shared" si="2"/>
        <v>25512518</v>
      </c>
      <c r="M23" s="228">
        <v>364132</v>
      </c>
      <c r="N23" s="219">
        <v>70341</v>
      </c>
      <c r="O23" s="221">
        <v>4443021</v>
      </c>
      <c r="P23" s="219">
        <v>4513362</v>
      </c>
      <c r="Q23" s="229">
        <v>4877494</v>
      </c>
      <c r="R23" s="228">
        <f>'Anne-8'!D25</f>
        <v>339397</v>
      </c>
      <c r="S23" s="219">
        <f>'Anne-7'!F25</f>
        <v>57785</v>
      </c>
      <c r="T23" s="219">
        <f>'Anne-6'!D25</f>
        <v>3261306</v>
      </c>
      <c r="U23" s="219">
        <f t="shared" si="3"/>
        <v>3319091</v>
      </c>
      <c r="V23" s="229">
        <f t="shared" si="4"/>
        <v>3658488</v>
      </c>
      <c r="W23" s="553">
        <f t="shared" si="5"/>
        <v>-23868</v>
      </c>
      <c r="X23" s="554">
        <f t="shared" si="5"/>
        <v>-84190</v>
      </c>
      <c r="Y23" s="554">
        <f t="shared" si="5"/>
        <v>644214</v>
      </c>
      <c r="Z23" s="554">
        <f t="shared" si="6"/>
        <v>560024</v>
      </c>
      <c r="AA23" s="555">
        <f t="shared" si="7"/>
        <v>536156</v>
      </c>
      <c r="AB23" s="556">
        <f t="shared" si="8"/>
        <v>-24735</v>
      </c>
      <c r="AC23" s="554">
        <f t="shared" si="8"/>
        <v>-12556</v>
      </c>
      <c r="AD23" s="563">
        <f t="shared" si="8"/>
        <v>-1181715</v>
      </c>
      <c r="AE23" s="554">
        <f t="shared" si="9"/>
        <v>-1194271</v>
      </c>
      <c r="AF23" s="586">
        <f t="shared" si="10"/>
        <v>-1219006</v>
      </c>
      <c r="AG23" s="591" t="s">
        <v>130</v>
      </c>
      <c r="AH23" s="590" t="s">
        <v>130</v>
      </c>
      <c r="AI23" s="590" t="s">
        <v>130</v>
      </c>
      <c r="AJ23" s="590" t="s">
        <v>130</v>
      </c>
      <c r="AK23" s="560" t="s">
        <v>130</v>
      </c>
      <c r="AO23">
        <v>91.34139595647996</v>
      </c>
      <c r="AP23">
        <v>11.113399608757312</v>
      </c>
      <c r="AQ23">
        <v>15.062521230115248</v>
      </c>
    </row>
    <row r="24" spans="1:43" ht="18" customHeight="1">
      <c r="A24" s="239">
        <v>18</v>
      </c>
      <c r="B24" s="240" t="s">
        <v>38</v>
      </c>
      <c r="C24" s="220">
        <v>1320155</v>
      </c>
      <c r="D24" s="219">
        <v>6869525</v>
      </c>
      <c r="E24" s="220">
        <v>22594770</v>
      </c>
      <c r="F24" s="219">
        <v>29464295</v>
      </c>
      <c r="G24" s="229">
        <v>30784450</v>
      </c>
      <c r="H24" s="228">
        <f>'Anne-8'!O26</f>
        <v>1251303</v>
      </c>
      <c r="I24" s="219">
        <f>'Anne-7'!N26</f>
        <v>7484238</v>
      </c>
      <c r="J24" s="219">
        <f>'Anne-6'!Z26</f>
        <v>23140927</v>
      </c>
      <c r="K24" s="219">
        <f t="shared" si="1"/>
        <v>30625165</v>
      </c>
      <c r="L24" s="229">
        <f t="shared" si="2"/>
        <v>31876468</v>
      </c>
      <c r="M24" s="228">
        <v>983646</v>
      </c>
      <c r="N24" s="219">
        <v>40433</v>
      </c>
      <c r="O24" s="221">
        <v>4391890</v>
      </c>
      <c r="P24" s="219">
        <v>4432323</v>
      </c>
      <c r="Q24" s="229">
        <v>5415969</v>
      </c>
      <c r="R24" s="228">
        <f>'Anne-8'!D26</f>
        <v>908418</v>
      </c>
      <c r="S24" s="219">
        <f>'Anne-7'!F26</f>
        <v>32698</v>
      </c>
      <c r="T24" s="219">
        <f>'Anne-6'!D26</f>
        <v>4525910</v>
      </c>
      <c r="U24" s="219">
        <f t="shared" si="3"/>
        <v>4558608</v>
      </c>
      <c r="V24" s="229">
        <f t="shared" si="4"/>
        <v>5467026</v>
      </c>
      <c r="W24" s="553">
        <f t="shared" si="5"/>
        <v>-68852</v>
      </c>
      <c r="X24" s="554">
        <f t="shared" si="5"/>
        <v>614713</v>
      </c>
      <c r="Y24" s="554">
        <f t="shared" si="5"/>
        <v>546157</v>
      </c>
      <c r="Z24" s="554">
        <f t="shared" si="6"/>
        <v>1160870</v>
      </c>
      <c r="AA24" s="555">
        <f t="shared" si="7"/>
        <v>1092018</v>
      </c>
      <c r="AB24" s="556">
        <f t="shared" si="8"/>
        <v>-75228</v>
      </c>
      <c r="AC24" s="554">
        <f t="shared" si="8"/>
        <v>-7735</v>
      </c>
      <c r="AD24" s="554">
        <f t="shared" si="8"/>
        <v>134020</v>
      </c>
      <c r="AE24" s="554">
        <f t="shared" si="9"/>
        <v>126285</v>
      </c>
      <c r="AF24" s="586">
        <f t="shared" si="10"/>
        <v>51057</v>
      </c>
      <c r="AG24" s="591" t="s">
        <v>130</v>
      </c>
      <c r="AH24" s="590" t="s">
        <v>130</v>
      </c>
      <c r="AI24" s="558">
        <f>AD24/Y24*100</f>
        <v>24.538731536902393</v>
      </c>
      <c r="AJ24" s="558">
        <f>AE24/Z24*100</f>
        <v>10.878479071730684</v>
      </c>
      <c r="AK24" s="559">
        <f>AF24/AA24*100</f>
        <v>4.675472382323368</v>
      </c>
      <c r="AO24">
        <v>94.11533218085481</v>
      </c>
      <c r="AP24">
        <v>18.71956511535175</v>
      </c>
      <c r="AQ24">
        <v>21.312717023130332</v>
      </c>
    </row>
    <row r="25" spans="1:43" ht="18" customHeight="1">
      <c r="A25" s="239">
        <v>19</v>
      </c>
      <c r="B25" s="240" t="s">
        <v>39</v>
      </c>
      <c r="C25" s="220">
        <v>1011011</v>
      </c>
      <c r="D25" s="219">
        <v>11001510</v>
      </c>
      <c r="E25" s="220">
        <v>37599620</v>
      </c>
      <c r="F25" s="219">
        <v>48601130</v>
      </c>
      <c r="G25" s="229">
        <v>49612141</v>
      </c>
      <c r="H25" s="228">
        <f>'Anne-8'!O27</f>
        <v>951881</v>
      </c>
      <c r="I25" s="219">
        <f>'Anne-7'!N27</f>
        <v>10501796</v>
      </c>
      <c r="J25" s="219">
        <f>'Anne-6'!Z27</f>
        <v>41056440</v>
      </c>
      <c r="K25" s="219">
        <f t="shared" si="1"/>
        <v>51558236</v>
      </c>
      <c r="L25" s="229">
        <f t="shared" si="2"/>
        <v>52510117</v>
      </c>
      <c r="M25" s="228">
        <v>887216</v>
      </c>
      <c r="N25" s="219">
        <v>178030</v>
      </c>
      <c r="O25" s="221">
        <v>5788422</v>
      </c>
      <c r="P25" s="219">
        <v>5966452</v>
      </c>
      <c r="Q25" s="229">
        <v>6853668</v>
      </c>
      <c r="R25" s="228">
        <f>'Anne-8'!D27</f>
        <v>823171</v>
      </c>
      <c r="S25" s="219">
        <f>'Anne-7'!F27</f>
        <v>158882</v>
      </c>
      <c r="T25" s="219">
        <f>'Anne-6'!D27</f>
        <v>5839662</v>
      </c>
      <c r="U25" s="219">
        <f t="shared" si="3"/>
        <v>5998544</v>
      </c>
      <c r="V25" s="229">
        <f t="shared" si="4"/>
        <v>6821715</v>
      </c>
      <c r="W25" s="553">
        <f t="shared" si="5"/>
        <v>-59130</v>
      </c>
      <c r="X25" s="554">
        <f t="shared" si="5"/>
        <v>-499714</v>
      </c>
      <c r="Y25" s="554">
        <f t="shared" si="5"/>
        <v>3456820</v>
      </c>
      <c r="Z25" s="554">
        <f t="shared" si="6"/>
        <v>2957106</v>
      </c>
      <c r="AA25" s="555">
        <f t="shared" si="7"/>
        <v>2897976</v>
      </c>
      <c r="AB25" s="556">
        <f t="shared" si="8"/>
        <v>-64045</v>
      </c>
      <c r="AC25" s="554">
        <f t="shared" si="8"/>
        <v>-19148</v>
      </c>
      <c r="AD25" s="554">
        <f t="shared" si="8"/>
        <v>51240</v>
      </c>
      <c r="AE25" s="554">
        <f t="shared" si="9"/>
        <v>32092</v>
      </c>
      <c r="AF25" s="586">
        <f t="shared" si="10"/>
        <v>-31953</v>
      </c>
      <c r="AG25" s="591" t="s">
        <v>130</v>
      </c>
      <c r="AH25" s="590" t="s">
        <v>130</v>
      </c>
      <c r="AI25" s="558">
        <f>AD25/Y25*100</f>
        <v>1.4822871888035825</v>
      </c>
      <c r="AJ25" s="558">
        <f>AE25/Z25*100</f>
        <v>1.0852502412832004</v>
      </c>
      <c r="AK25" s="560" t="s">
        <v>130</v>
      </c>
      <c r="AO25">
        <v>97.34252422050575</v>
      </c>
      <c r="AP25">
        <v>11.391638372182417</v>
      </c>
      <c r="AQ25">
        <v>15.115794189748346</v>
      </c>
    </row>
    <row r="26" spans="1:43" ht="18" customHeight="1">
      <c r="A26" s="239">
        <v>20</v>
      </c>
      <c r="B26" s="240" t="s">
        <v>40</v>
      </c>
      <c r="C26" s="220">
        <v>1779999</v>
      </c>
      <c r="D26" s="219">
        <v>11410521</v>
      </c>
      <c r="E26" s="220">
        <v>47497972</v>
      </c>
      <c r="F26" s="219">
        <v>58908493</v>
      </c>
      <c r="G26" s="229">
        <v>60688492</v>
      </c>
      <c r="H26" s="228">
        <f>'Anne-8'!O28</f>
        <v>1771502</v>
      </c>
      <c r="I26" s="219">
        <f>'Anne-7'!N28</f>
        <v>11270162</v>
      </c>
      <c r="J26" s="219">
        <f>'Anne-6'!Z28</f>
        <v>50088133</v>
      </c>
      <c r="K26" s="219">
        <f t="shared" si="1"/>
        <v>61358295</v>
      </c>
      <c r="L26" s="229">
        <f t="shared" si="2"/>
        <v>63129797</v>
      </c>
      <c r="M26" s="228">
        <v>1582503</v>
      </c>
      <c r="N26" s="219">
        <v>100909</v>
      </c>
      <c r="O26" s="221">
        <v>7927731</v>
      </c>
      <c r="P26" s="219">
        <v>8028640</v>
      </c>
      <c r="Q26" s="229">
        <v>9611143</v>
      </c>
      <c r="R26" s="228">
        <f>'Anne-8'!D28</f>
        <v>1478446</v>
      </c>
      <c r="S26" s="219">
        <f>'Anne-7'!F28</f>
        <v>85113</v>
      </c>
      <c r="T26" s="219">
        <f>'Anne-6'!D28</f>
        <v>8204388</v>
      </c>
      <c r="U26" s="219">
        <f t="shared" si="3"/>
        <v>8289501</v>
      </c>
      <c r="V26" s="229">
        <f t="shared" si="4"/>
        <v>9767947</v>
      </c>
      <c r="W26" s="553">
        <f t="shared" si="5"/>
        <v>-8497</v>
      </c>
      <c r="X26" s="554">
        <f t="shared" si="5"/>
        <v>-140359</v>
      </c>
      <c r="Y26" s="554">
        <f t="shared" si="5"/>
        <v>2590161</v>
      </c>
      <c r="Z26" s="554">
        <f t="shared" si="6"/>
        <v>2449802</v>
      </c>
      <c r="AA26" s="555">
        <f t="shared" si="7"/>
        <v>2441305</v>
      </c>
      <c r="AB26" s="556">
        <f t="shared" si="8"/>
        <v>-104057</v>
      </c>
      <c r="AC26" s="554">
        <f t="shared" si="8"/>
        <v>-15796</v>
      </c>
      <c r="AD26" s="554">
        <f t="shared" si="8"/>
        <v>276657</v>
      </c>
      <c r="AE26" s="554">
        <f t="shared" si="9"/>
        <v>260861</v>
      </c>
      <c r="AF26" s="586">
        <f t="shared" si="10"/>
        <v>156804</v>
      </c>
      <c r="AG26" s="591" t="s">
        <v>130</v>
      </c>
      <c r="AH26" s="590" t="s">
        <v>130</v>
      </c>
      <c r="AI26" s="558">
        <f>AD26/Y26*100</f>
        <v>10.681073493114907</v>
      </c>
      <c r="AJ26" s="558">
        <f>AE26/Z26*100</f>
        <v>10.648248307414232</v>
      </c>
      <c r="AK26" s="559">
        <f>AF26/AA26*100</f>
        <v>6.422958212923007</v>
      </c>
      <c r="AO26">
        <v>99.55887062165478</v>
      </c>
      <c r="AP26">
        <v>9.574846881692652</v>
      </c>
      <c r="AQ26">
        <v>12.881944355487466</v>
      </c>
    </row>
    <row r="27" spans="1:43" ht="18" customHeight="1">
      <c r="A27" s="239">
        <v>21</v>
      </c>
      <c r="B27" s="240" t="s">
        <v>41</v>
      </c>
      <c r="C27" s="220">
        <v>0</v>
      </c>
      <c r="D27" s="219">
        <v>0</v>
      </c>
      <c r="E27" s="220">
        <v>0</v>
      </c>
      <c r="F27" s="219">
        <v>0</v>
      </c>
      <c r="G27" s="229">
        <v>0</v>
      </c>
      <c r="H27" s="228">
        <f>'Anne-8'!O29</f>
        <v>0</v>
      </c>
      <c r="I27" s="219">
        <f>'Anne-7'!N29</f>
        <v>0</v>
      </c>
      <c r="J27" s="219">
        <f>'Anne-6'!Z29</f>
        <v>0</v>
      </c>
      <c r="K27" s="219">
        <f t="shared" si="1"/>
        <v>0</v>
      </c>
      <c r="L27" s="229">
        <f t="shared" si="2"/>
        <v>0</v>
      </c>
      <c r="M27" s="228">
        <v>0</v>
      </c>
      <c r="N27" s="219">
        <v>0</v>
      </c>
      <c r="O27" s="221">
        <v>0</v>
      </c>
      <c r="P27" s="219">
        <v>0</v>
      </c>
      <c r="Q27" s="229">
        <v>0</v>
      </c>
      <c r="R27" s="228">
        <f>'Anne-8'!D29</f>
        <v>0</v>
      </c>
      <c r="S27" s="219">
        <f>'Anne-7'!F29</f>
        <v>0</v>
      </c>
      <c r="T27" s="219">
        <f>'Anne-6'!D29</f>
        <v>0</v>
      </c>
      <c r="U27" s="219">
        <f t="shared" si="3"/>
        <v>0</v>
      </c>
      <c r="V27" s="229">
        <f t="shared" si="4"/>
        <v>0</v>
      </c>
      <c r="W27" s="553">
        <f t="shared" si="5"/>
        <v>0</v>
      </c>
      <c r="X27" s="554">
        <f t="shared" si="5"/>
        <v>0</v>
      </c>
      <c r="Y27" s="554">
        <f t="shared" si="5"/>
        <v>0</v>
      </c>
      <c r="Z27" s="554">
        <f t="shared" si="6"/>
        <v>0</v>
      </c>
      <c r="AA27" s="555">
        <f t="shared" si="7"/>
        <v>0</v>
      </c>
      <c r="AB27" s="556">
        <f t="shared" si="8"/>
        <v>0</v>
      </c>
      <c r="AC27" s="554">
        <f t="shared" si="8"/>
        <v>0</v>
      </c>
      <c r="AD27" s="554">
        <f t="shared" si="8"/>
        <v>0</v>
      </c>
      <c r="AE27" s="554">
        <f t="shared" si="9"/>
        <v>0</v>
      </c>
      <c r="AF27" s="586">
        <f t="shared" si="10"/>
        <v>0</v>
      </c>
      <c r="AG27" s="557"/>
      <c r="AH27" s="558"/>
      <c r="AI27" s="558"/>
      <c r="AJ27" s="558"/>
      <c r="AK27" s="559"/>
      <c r="AO27">
        <v>87.26371724717006</v>
      </c>
      <c r="AP27">
        <v>11.211276424601657</v>
      </c>
      <c r="AQ27">
        <v>17.78165157448183</v>
      </c>
    </row>
    <row r="28" spans="1:43" ht="18" customHeight="1">
      <c r="A28" s="239">
        <v>22</v>
      </c>
      <c r="B28" s="240" t="s">
        <v>42</v>
      </c>
      <c r="C28" s="220">
        <v>1048303</v>
      </c>
      <c r="D28" s="219">
        <v>14726334</v>
      </c>
      <c r="E28" s="220">
        <v>59097816</v>
      </c>
      <c r="F28" s="219">
        <v>73824150</v>
      </c>
      <c r="G28" s="229">
        <v>74872453</v>
      </c>
      <c r="H28" s="228">
        <f>'Anne-8'!O30</f>
        <v>828110</v>
      </c>
      <c r="I28" s="219">
        <f>'Anne-7'!N30</f>
        <v>13119858</v>
      </c>
      <c r="J28" s="219">
        <f>'Anne-6'!Z30</f>
        <v>62276286</v>
      </c>
      <c r="K28" s="219">
        <f t="shared" si="1"/>
        <v>75396144</v>
      </c>
      <c r="L28" s="229">
        <f t="shared" si="2"/>
        <v>76224254</v>
      </c>
      <c r="M28" s="228">
        <v>943196</v>
      </c>
      <c r="N28" s="219">
        <v>420339</v>
      </c>
      <c r="O28" s="221">
        <v>10014585</v>
      </c>
      <c r="P28" s="219">
        <v>10434924</v>
      </c>
      <c r="Q28" s="229">
        <v>11378120</v>
      </c>
      <c r="R28" s="228">
        <f>'Anne-8'!D30</f>
        <v>721358</v>
      </c>
      <c r="S28" s="219">
        <f>'Anne-7'!F30</f>
        <v>271439</v>
      </c>
      <c r="T28" s="219">
        <f>'Anne-6'!D30</f>
        <v>10085353</v>
      </c>
      <c r="U28" s="219">
        <f t="shared" si="3"/>
        <v>10356792</v>
      </c>
      <c r="V28" s="229">
        <f t="shared" si="4"/>
        <v>11078150</v>
      </c>
      <c r="W28" s="553">
        <f t="shared" si="5"/>
        <v>-220193</v>
      </c>
      <c r="X28" s="554">
        <f t="shared" si="5"/>
        <v>-1606476</v>
      </c>
      <c r="Y28" s="554">
        <f t="shared" si="5"/>
        <v>3178470</v>
      </c>
      <c r="Z28" s="554">
        <f t="shared" si="6"/>
        <v>1571994</v>
      </c>
      <c r="AA28" s="555">
        <f t="shared" si="7"/>
        <v>1351801</v>
      </c>
      <c r="AB28" s="556">
        <f t="shared" si="8"/>
        <v>-221838</v>
      </c>
      <c r="AC28" s="554">
        <f t="shared" si="8"/>
        <v>-148900</v>
      </c>
      <c r="AD28" s="554">
        <f t="shared" si="8"/>
        <v>70768</v>
      </c>
      <c r="AE28" s="554">
        <f t="shared" si="9"/>
        <v>-78132</v>
      </c>
      <c r="AF28" s="586">
        <f t="shared" si="10"/>
        <v>-299970</v>
      </c>
      <c r="AG28" s="591" t="s">
        <v>130</v>
      </c>
      <c r="AH28" s="590" t="s">
        <v>130</v>
      </c>
      <c r="AI28" s="558">
        <f>AD28/Y28*100</f>
        <v>2.22648003599216</v>
      </c>
      <c r="AJ28" s="590" t="s">
        <v>130</v>
      </c>
      <c r="AK28" s="560" t="s">
        <v>130</v>
      </c>
      <c r="AO28">
        <v>68.87037925969265</v>
      </c>
      <c r="AP28">
        <v>10.946565807191986</v>
      </c>
      <c r="AQ28">
        <v>17.509361117584195</v>
      </c>
    </row>
    <row r="29" spans="1:43" ht="18" customHeight="1">
      <c r="A29" s="239">
        <v>23</v>
      </c>
      <c r="B29" s="240" t="s">
        <v>43</v>
      </c>
      <c r="C29" s="220">
        <v>767118</v>
      </c>
      <c r="D29" s="219">
        <v>11210241</v>
      </c>
      <c r="E29" s="220">
        <v>37189244</v>
      </c>
      <c r="F29" s="219">
        <v>48399485</v>
      </c>
      <c r="G29" s="229">
        <v>49166603</v>
      </c>
      <c r="H29" s="228">
        <f>'Anne-8'!O31</f>
        <v>560606</v>
      </c>
      <c r="I29" s="219">
        <f>'Anne-7'!N31</f>
        <v>9906831</v>
      </c>
      <c r="J29" s="219">
        <f>'Anne-6'!Z31</f>
        <v>37750261</v>
      </c>
      <c r="K29" s="219">
        <f t="shared" si="1"/>
        <v>47657092</v>
      </c>
      <c r="L29" s="229">
        <f t="shared" si="2"/>
        <v>48217698</v>
      </c>
      <c r="M29" s="228">
        <v>728589</v>
      </c>
      <c r="N29" s="219">
        <v>134031</v>
      </c>
      <c r="O29" s="221">
        <v>4768705</v>
      </c>
      <c r="P29" s="219">
        <v>4902736</v>
      </c>
      <c r="Q29" s="229">
        <v>5631325</v>
      </c>
      <c r="R29" s="228">
        <f>'Anne-8'!D31</f>
        <v>524480</v>
      </c>
      <c r="S29" s="219">
        <f>'Anne-7'!F31</f>
        <v>87948</v>
      </c>
      <c r="T29" s="219">
        <f>'Anne-6'!D31</f>
        <v>4290296</v>
      </c>
      <c r="U29" s="219">
        <f t="shared" si="3"/>
        <v>4378244</v>
      </c>
      <c r="V29" s="229">
        <f t="shared" si="4"/>
        <v>4902724</v>
      </c>
      <c r="W29" s="553">
        <f t="shared" si="5"/>
        <v>-206512</v>
      </c>
      <c r="X29" s="554">
        <f t="shared" si="5"/>
        <v>-1303410</v>
      </c>
      <c r="Y29" s="554">
        <f t="shared" si="5"/>
        <v>561017</v>
      </c>
      <c r="Z29" s="554">
        <f t="shared" si="6"/>
        <v>-742393</v>
      </c>
      <c r="AA29" s="555">
        <f t="shared" si="7"/>
        <v>-948905</v>
      </c>
      <c r="AB29" s="556">
        <f t="shared" si="8"/>
        <v>-204109</v>
      </c>
      <c r="AC29" s="554">
        <f t="shared" si="8"/>
        <v>-46083</v>
      </c>
      <c r="AD29" s="554">
        <f t="shared" si="8"/>
        <v>-478409</v>
      </c>
      <c r="AE29" s="554">
        <f t="shared" si="9"/>
        <v>-524492</v>
      </c>
      <c r="AF29" s="586">
        <f t="shared" si="10"/>
        <v>-728601</v>
      </c>
      <c r="AG29" s="591" t="s">
        <v>130</v>
      </c>
      <c r="AH29" s="590" t="s">
        <v>130</v>
      </c>
      <c r="AI29" s="590" t="s">
        <v>130</v>
      </c>
      <c r="AJ29" s="590" t="s">
        <v>130</v>
      </c>
      <c r="AK29" s="560" t="s">
        <v>130</v>
      </c>
      <c r="AO29">
        <v>89.0007910295627</v>
      </c>
      <c r="AP29">
        <v>13.078399230144221</v>
      </c>
      <c r="AQ29">
        <v>17.471444620372107</v>
      </c>
    </row>
    <row r="30" spans="1:37" ht="18" customHeight="1">
      <c r="A30" s="239">
        <v>24</v>
      </c>
      <c r="B30" s="240" t="s">
        <v>44</v>
      </c>
      <c r="C30" s="220">
        <v>548248</v>
      </c>
      <c r="D30" s="219">
        <v>4083473</v>
      </c>
      <c r="E30" s="220">
        <v>37076386</v>
      </c>
      <c r="F30" s="219">
        <v>41159859</v>
      </c>
      <c r="G30" s="229">
        <v>41708107</v>
      </c>
      <c r="H30" s="228">
        <f>'Anne-8'!O32</f>
        <v>512729</v>
      </c>
      <c r="I30" s="219">
        <f>'Anne-7'!N32</f>
        <v>3037530</v>
      </c>
      <c r="J30" s="219">
        <f>'Anne-6'!Z32</f>
        <v>38145277</v>
      </c>
      <c r="K30" s="219">
        <f t="shared" si="1"/>
        <v>41182807</v>
      </c>
      <c r="L30" s="229">
        <f t="shared" si="2"/>
        <v>41695536</v>
      </c>
      <c r="M30" s="228">
        <v>542345</v>
      </c>
      <c r="N30" s="219">
        <v>75773</v>
      </c>
      <c r="O30" s="221">
        <v>3533718</v>
      </c>
      <c r="P30" s="219">
        <v>3609491</v>
      </c>
      <c r="Q30" s="229">
        <v>4151836</v>
      </c>
      <c r="R30" s="228">
        <f>'Anne-8'!D32</f>
        <v>506832</v>
      </c>
      <c r="S30" s="219">
        <f>'Anne-7'!F32</f>
        <v>71502</v>
      </c>
      <c r="T30" s="219">
        <f>'Anne-6'!D32</f>
        <v>1991527</v>
      </c>
      <c r="U30" s="219">
        <f t="shared" si="3"/>
        <v>2063029</v>
      </c>
      <c r="V30" s="229">
        <f t="shared" si="4"/>
        <v>2569861</v>
      </c>
      <c r="W30" s="553">
        <f t="shared" si="5"/>
        <v>-35519</v>
      </c>
      <c r="X30" s="554">
        <f t="shared" si="5"/>
        <v>-1045943</v>
      </c>
      <c r="Y30" s="554">
        <f t="shared" si="5"/>
        <v>1068891</v>
      </c>
      <c r="Z30" s="554">
        <f t="shared" si="6"/>
        <v>22948</v>
      </c>
      <c r="AA30" s="555">
        <f t="shared" si="7"/>
        <v>-12571</v>
      </c>
      <c r="AB30" s="556">
        <f t="shared" si="8"/>
        <v>-35513</v>
      </c>
      <c r="AC30" s="554">
        <f t="shared" si="8"/>
        <v>-4271</v>
      </c>
      <c r="AD30" s="563">
        <f t="shared" si="8"/>
        <v>-1542191</v>
      </c>
      <c r="AE30" s="554">
        <f t="shared" si="9"/>
        <v>-1546462</v>
      </c>
      <c r="AF30" s="586">
        <f t="shared" si="10"/>
        <v>-1581975</v>
      </c>
      <c r="AG30" s="591" t="s">
        <v>130</v>
      </c>
      <c r="AH30" s="590" t="s">
        <v>130</v>
      </c>
      <c r="AI30" s="590" t="s">
        <v>130</v>
      </c>
      <c r="AJ30" s="590" t="s">
        <v>130</v>
      </c>
      <c r="AK30" s="560" t="s">
        <v>130</v>
      </c>
    </row>
    <row r="31" spans="1:37" ht="18" customHeight="1">
      <c r="A31" s="239">
        <v>25</v>
      </c>
      <c r="B31" s="240" t="s">
        <v>45</v>
      </c>
      <c r="C31" s="220">
        <v>1144255</v>
      </c>
      <c r="D31" s="219">
        <v>3764962</v>
      </c>
      <c r="E31" s="220">
        <v>17495102</v>
      </c>
      <c r="F31" s="219">
        <v>21260064</v>
      </c>
      <c r="G31" s="229">
        <v>22404319</v>
      </c>
      <c r="H31" s="228">
        <f>'Anne-8'!O33</f>
        <v>1084374</v>
      </c>
      <c r="I31" s="219">
        <f>'Anne-7'!N33</f>
        <v>3604548</v>
      </c>
      <c r="J31" s="219">
        <f>'Anne-6'!Z33</f>
        <v>17164179</v>
      </c>
      <c r="K31" s="219">
        <f t="shared" si="1"/>
        <v>20768727</v>
      </c>
      <c r="L31" s="229">
        <f t="shared" si="2"/>
        <v>21853101</v>
      </c>
      <c r="M31" s="228">
        <v>930944</v>
      </c>
      <c r="N31" s="219">
        <v>24387</v>
      </c>
      <c r="O31" s="221">
        <v>2271492</v>
      </c>
      <c r="P31" s="219">
        <v>2295879</v>
      </c>
      <c r="Q31" s="229">
        <v>3226823</v>
      </c>
      <c r="R31" s="228">
        <f>'Anne-8'!D33</f>
        <v>856287</v>
      </c>
      <c r="S31" s="219">
        <f>'Anne-7'!F33</f>
        <v>21191</v>
      </c>
      <c r="T31" s="219">
        <f>'Anne-6'!D33</f>
        <v>844996</v>
      </c>
      <c r="U31" s="219">
        <f t="shared" si="3"/>
        <v>866187</v>
      </c>
      <c r="V31" s="229">
        <f t="shared" si="4"/>
        <v>1722474</v>
      </c>
      <c r="W31" s="553">
        <f t="shared" si="5"/>
        <v>-59881</v>
      </c>
      <c r="X31" s="554">
        <f t="shared" si="5"/>
        <v>-160414</v>
      </c>
      <c r="Y31" s="554">
        <f t="shared" si="5"/>
        <v>-330923</v>
      </c>
      <c r="Z31" s="554">
        <f t="shared" si="6"/>
        <v>-491337</v>
      </c>
      <c r="AA31" s="555">
        <f t="shared" si="7"/>
        <v>-551218</v>
      </c>
      <c r="AB31" s="556">
        <f t="shared" si="8"/>
        <v>-74657</v>
      </c>
      <c r="AC31" s="554">
        <f t="shared" si="8"/>
        <v>-3196</v>
      </c>
      <c r="AD31" s="554">
        <f t="shared" si="8"/>
        <v>-1426496</v>
      </c>
      <c r="AE31" s="554">
        <f t="shared" si="9"/>
        <v>-1429692</v>
      </c>
      <c r="AF31" s="586">
        <f t="shared" si="10"/>
        <v>-1504349</v>
      </c>
      <c r="AG31" s="591" t="s">
        <v>130</v>
      </c>
      <c r="AH31" s="590" t="s">
        <v>130</v>
      </c>
      <c r="AI31" s="590" t="s">
        <v>130</v>
      </c>
      <c r="AJ31" s="590" t="s">
        <v>130</v>
      </c>
      <c r="AK31" s="560" t="s">
        <v>130</v>
      </c>
    </row>
    <row r="32" spans="1:43" ht="18" customHeight="1">
      <c r="A32" s="239">
        <v>26</v>
      </c>
      <c r="B32" s="240" t="s">
        <v>46</v>
      </c>
      <c r="C32" s="220">
        <v>1329576</v>
      </c>
      <c r="D32" s="219">
        <v>2288935</v>
      </c>
      <c r="E32" s="220">
        <v>11214964</v>
      </c>
      <c r="F32" s="219">
        <v>13503899</v>
      </c>
      <c r="G32" s="229">
        <v>14833475</v>
      </c>
      <c r="H32" s="228">
        <f>'Anne-8'!O34</f>
        <v>1170859</v>
      </c>
      <c r="I32" s="219">
        <f>'Anne-7'!N34</f>
        <v>1454621</v>
      </c>
      <c r="J32" s="219">
        <f>'Anne-6'!Z34</f>
        <v>11838069</v>
      </c>
      <c r="K32" s="219">
        <f t="shared" si="1"/>
        <v>13292690</v>
      </c>
      <c r="L32" s="229">
        <f t="shared" si="2"/>
        <v>14463549</v>
      </c>
      <c r="M32" s="228">
        <v>816173</v>
      </c>
      <c r="N32" s="219">
        <v>15263</v>
      </c>
      <c r="O32" s="221">
        <v>1553995</v>
      </c>
      <c r="P32" s="219">
        <v>1569258</v>
      </c>
      <c r="Q32" s="229">
        <v>2385431</v>
      </c>
      <c r="R32" s="228">
        <f>'Anne-8'!D34</f>
        <v>771175</v>
      </c>
      <c r="S32" s="219">
        <f>'Anne-7'!F34</f>
        <v>13052</v>
      </c>
      <c r="T32" s="219">
        <f>'Anne-6'!D34</f>
        <v>1431238</v>
      </c>
      <c r="U32" s="219">
        <f t="shared" si="3"/>
        <v>1444290</v>
      </c>
      <c r="V32" s="229">
        <f t="shared" si="4"/>
        <v>2215465</v>
      </c>
      <c r="W32" s="553">
        <f t="shared" si="5"/>
        <v>-158717</v>
      </c>
      <c r="X32" s="554">
        <f t="shared" si="5"/>
        <v>-834314</v>
      </c>
      <c r="Y32" s="554">
        <f t="shared" si="5"/>
        <v>623105</v>
      </c>
      <c r="Z32" s="554">
        <f t="shared" si="6"/>
        <v>-211209</v>
      </c>
      <c r="AA32" s="555">
        <f t="shared" si="7"/>
        <v>-369926</v>
      </c>
      <c r="AB32" s="556">
        <f t="shared" si="8"/>
        <v>-44998</v>
      </c>
      <c r="AC32" s="554">
        <f t="shared" si="8"/>
        <v>-2211</v>
      </c>
      <c r="AD32" s="554">
        <f t="shared" si="8"/>
        <v>-122757</v>
      </c>
      <c r="AE32" s="554">
        <f t="shared" si="9"/>
        <v>-124968</v>
      </c>
      <c r="AF32" s="586">
        <f t="shared" si="10"/>
        <v>-169966</v>
      </c>
      <c r="AG32" s="591" t="s">
        <v>130</v>
      </c>
      <c r="AH32" s="590" t="s">
        <v>130</v>
      </c>
      <c r="AI32" s="590" t="s">
        <v>130</v>
      </c>
      <c r="AJ32" s="590" t="s">
        <v>130</v>
      </c>
      <c r="AK32" s="560" t="s">
        <v>130</v>
      </c>
      <c r="AO32">
        <v>75.48276683668153</v>
      </c>
      <c r="AP32">
        <v>11.834952688399733</v>
      </c>
      <c r="AQ32">
        <v>15.749281300529915</v>
      </c>
    </row>
    <row r="33" spans="1:37" ht="18" customHeight="1">
      <c r="A33" s="237"/>
      <c r="B33" s="235" t="s">
        <v>47</v>
      </c>
      <c r="C33" s="230">
        <v>24265365</v>
      </c>
      <c r="D33" s="230">
        <v>148486698</v>
      </c>
      <c r="E33" s="230">
        <v>648519316</v>
      </c>
      <c r="F33" s="230">
        <v>797006014</v>
      </c>
      <c r="G33" s="230">
        <v>821271379</v>
      </c>
      <c r="H33" s="230">
        <f aca="true" t="shared" si="12" ref="H33:AA33">SUM(H8:H32)</f>
        <v>22570509</v>
      </c>
      <c r="I33" s="222">
        <f t="shared" si="12"/>
        <v>138586334</v>
      </c>
      <c r="J33" s="222">
        <f t="shared" si="12"/>
        <v>681953718</v>
      </c>
      <c r="K33" s="222">
        <f t="shared" si="12"/>
        <v>820540052</v>
      </c>
      <c r="L33" s="231">
        <f t="shared" si="12"/>
        <v>843110561</v>
      </c>
      <c r="M33" s="230">
        <v>20446062</v>
      </c>
      <c r="N33" s="222">
        <v>2701813</v>
      </c>
      <c r="O33" s="222">
        <v>98504812</v>
      </c>
      <c r="P33" s="222">
        <v>101206625</v>
      </c>
      <c r="Q33" s="231">
        <v>121652687</v>
      </c>
      <c r="R33" s="230">
        <f t="shared" si="12"/>
        <v>18754527</v>
      </c>
      <c r="S33" s="222">
        <f t="shared" si="12"/>
        <v>2288459</v>
      </c>
      <c r="T33" s="222">
        <f t="shared" si="12"/>
        <v>92428456</v>
      </c>
      <c r="U33" s="222">
        <f t="shared" si="12"/>
        <v>94716915</v>
      </c>
      <c r="V33" s="231">
        <f t="shared" si="12"/>
        <v>113471442</v>
      </c>
      <c r="W33" s="564">
        <f t="shared" si="12"/>
        <v>-1694856</v>
      </c>
      <c r="X33" s="565">
        <f t="shared" si="12"/>
        <v>-9900364</v>
      </c>
      <c r="Y33" s="565">
        <f t="shared" si="12"/>
        <v>33434402</v>
      </c>
      <c r="Z33" s="566">
        <f t="shared" si="12"/>
        <v>23534038</v>
      </c>
      <c r="AA33" s="567">
        <f t="shared" si="12"/>
        <v>21839182</v>
      </c>
      <c r="AB33" s="568">
        <f>SUM(AB8:AB32)</f>
        <v>-1691535</v>
      </c>
      <c r="AC33" s="565">
        <f>SUM(AC8:AC32)</f>
        <v>-413354</v>
      </c>
      <c r="AD33" s="569">
        <f>SUM(AD8:AD32)</f>
        <v>-6076356</v>
      </c>
      <c r="AE33" s="565">
        <f>SUM(AE8:AE32)</f>
        <v>-6489710</v>
      </c>
      <c r="AF33" s="587">
        <f>SUM(AF8:AF32)</f>
        <v>-8181245</v>
      </c>
      <c r="AG33" s="591" t="s">
        <v>130</v>
      </c>
      <c r="AH33" s="590" t="s">
        <v>130</v>
      </c>
      <c r="AI33" s="590" t="s">
        <v>130</v>
      </c>
      <c r="AJ33" s="590" t="s">
        <v>130</v>
      </c>
      <c r="AK33" s="560" t="s">
        <v>130</v>
      </c>
    </row>
    <row r="34" spans="1:37" ht="18" customHeight="1">
      <c r="A34" s="225">
        <v>27</v>
      </c>
      <c r="B34" s="235" t="s">
        <v>48</v>
      </c>
      <c r="C34" s="220">
        <v>2956758</v>
      </c>
      <c r="D34" s="219">
        <v>12252819</v>
      </c>
      <c r="E34" s="219">
        <v>28173610</v>
      </c>
      <c r="F34" s="219">
        <v>40426429</v>
      </c>
      <c r="G34" s="229">
        <v>43383187</v>
      </c>
      <c r="H34" s="228">
        <f>'Anne-8'!O36</f>
        <v>3090143</v>
      </c>
      <c r="I34" s="219">
        <f>'Anne-7'!N36</f>
        <v>11743597</v>
      </c>
      <c r="J34" s="219">
        <f>'Anne-6'!Z36</f>
        <v>30706002</v>
      </c>
      <c r="K34" s="219">
        <f t="shared" si="1"/>
        <v>42449599</v>
      </c>
      <c r="L34" s="229">
        <f t="shared" si="2"/>
        <v>45539742</v>
      </c>
      <c r="M34" s="236">
        <v>0</v>
      </c>
      <c r="N34" s="218">
        <v>0</v>
      </c>
      <c r="O34" s="223">
        <v>0</v>
      </c>
      <c r="P34" s="219">
        <v>0</v>
      </c>
      <c r="Q34" s="229">
        <v>0</v>
      </c>
      <c r="R34" s="228">
        <f>'[1]LL31.03.10'!D36</f>
        <v>0</v>
      </c>
      <c r="S34" s="219">
        <f>'[1]WLL31.03.10'!D36+'[1]WLL31.03.10'!L36</f>
        <v>0</v>
      </c>
      <c r="T34" s="219">
        <f>'[1]M31.03.10'!D36</f>
        <v>0</v>
      </c>
      <c r="U34" s="219">
        <f>SUM(S34:T34)</f>
        <v>0</v>
      </c>
      <c r="V34" s="229">
        <f>U34+R34</f>
        <v>0</v>
      </c>
      <c r="W34" s="553">
        <f t="shared" si="5"/>
        <v>133385</v>
      </c>
      <c r="X34" s="554">
        <f>I34-D34</f>
        <v>-509222</v>
      </c>
      <c r="Y34" s="554">
        <f>J34-E34</f>
        <v>2532392</v>
      </c>
      <c r="Z34" s="554">
        <f>SUM(X34:Y34)</f>
        <v>2023170</v>
      </c>
      <c r="AA34" s="555">
        <f>Z34+W34</f>
        <v>2156555</v>
      </c>
      <c r="AB34" s="556">
        <f aca="true" t="shared" si="13" ref="AB34:AD35">R34-M34</f>
        <v>0</v>
      </c>
      <c r="AC34" s="554">
        <f t="shared" si="13"/>
        <v>0</v>
      </c>
      <c r="AD34" s="554">
        <f t="shared" si="13"/>
        <v>0</v>
      </c>
      <c r="AE34" s="554">
        <f>SUM(AC34:AD34)</f>
        <v>0</v>
      </c>
      <c r="AF34" s="586">
        <f>AE34+AB34</f>
        <v>0</v>
      </c>
      <c r="AG34" s="557"/>
      <c r="AH34" s="558"/>
      <c r="AI34" s="558"/>
      <c r="AJ34" s="558"/>
      <c r="AK34" s="559"/>
    </row>
    <row r="35" spans="1:37" ht="18" customHeight="1">
      <c r="A35" s="225">
        <v>28</v>
      </c>
      <c r="B35" s="235" t="s">
        <v>49</v>
      </c>
      <c r="C35" s="220">
        <v>2985545</v>
      </c>
      <c r="D35" s="219">
        <v>10154685</v>
      </c>
      <c r="E35" s="219">
        <v>20198977</v>
      </c>
      <c r="F35" s="219">
        <v>30353662</v>
      </c>
      <c r="G35" s="229">
        <v>33339207</v>
      </c>
      <c r="H35" s="228">
        <f>'Anne-8'!O37</f>
        <v>3055425</v>
      </c>
      <c r="I35" s="219">
        <f>'Anne-7'!N37</f>
        <v>9652173</v>
      </c>
      <c r="J35" s="219">
        <f>'Anne-6'!Z37</f>
        <v>20696837</v>
      </c>
      <c r="K35" s="219">
        <f t="shared" si="1"/>
        <v>30349010</v>
      </c>
      <c r="L35" s="229">
        <f t="shared" si="2"/>
        <v>33404435</v>
      </c>
      <c r="M35" s="236">
        <v>0</v>
      </c>
      <c r="N35" s="218">
        <v>0</v>
      </c>
      <c r="O35" s="223">
        <v>0</v>
      </c>
      <c r="P35" s="219">
        <v>0</v>
      </c>
      <c r="Q35" s="229">
        <v>0</v>
      </c>
      <c r="R35" s="228">
        <f>'[1]LL31.03.10'!D37</f>
        <v>0</v>
      </c>
      <c r="S35" s="219">
        <f>'[1]WLL31.03.10'!D37+'[1]WLL31.03.10'!L37</f>
        <v>0</v>
      </c>
      <c r="T35" s="219">
        <f>'[1]M31.03.10'!D37</f>
        <v>0</v>
      </c>
      <c r="U35" s="219">
        <f>SUM(S35:T35)</f>
        <v>0</v>
      </c>
      <c r="V35" s="229">
        <f>U35+R35</f>
        <v>0</v>
      </c>
      <c r="W35" s="553">
        <f t="shared" si="5"/>
        <v>69880</v>
      </c>
      <c r="X35" s="554">
        <f>I35-D35</f>
        <v>-502512</v>
      </c>
      <c r="Y35" s="554">
        <f>J35-E35</f>
        <v>497860</v>
      </c>
      <c r="Z35" s="554">
        <f>SUM(X35:Y35)</f>
        <v>-4652</v>
      </c>
      <c r="AA35" s="555">
        <f>Z35+W35</f>
        <v>65228</v>
      </c>
      <c r="AB35" s="556">
        <f t="shared" si="13"/>
        <v>0</v>
      </c>
      <c r="AC35" s="554">
        <f t="shared" si="13"/>
        <v>0</v>
      </c>
      <c r="AD35" s="554">
        <f t="shared" si="13"/>
        <v>0</v>
      </c>
      <c r="AE35" s="554">
        <f>SUM(AC35:AD35)</f>
        <v>0</v>
      </c>
      <c r="AF35" s="586">
        <f>AE35+AB35</f>
        <v>0</v>
      </c>
      <c r="AG35" s="557"/>
      <c r="AH35" s="558"/>
      <c r="AI35" s="558"/>
      <c r="AJ35" s="558"/>
      <c r="AK35" s="559"/>
    </row>
    <row r="36" spans="1:37" ht="18" customHeight="1" thickBot="1">
      <c r="A36" s="241"/>
      <c r="B36" s="242" t="s">
        <v>50</v>
      </c>
      <c r="C36" s="238">
        <v>30207668</v>
      </c>
      <c r="D36" s="233">
        <v>170894202</v>
      </c>
      <c r="E36" s="233">
        <v>696891903</v>
      </c>
      <c r="F36" s="233">
        <v>867786105</v>
      </c>
      <c r="G36" s="234">
        <v>897993773</v>
      </c>
      <c r="H36" s="232">
        <f aca="true" t="shared" si="14" ref="H36:AF36">SUM(H33:H35)</f>
        <v>28716077</v>
      </c>
      <c r="I36" s="233">
        <f t="shared" si="14"/>
        <v>159982104</v>
      </c>
      <c r="J36" s="233">
        <f t="shared" si="14"/>
        <v>733356557</v>
      </c>
      <c r="K36" s="233">
        <f t="shared" si="14"/>
        <v>893338661</v>
      </c>
      <c r="L36" s="234">
        <f t="shared" si="14"/>
        <v>922054738</v>
      </c>
      <c r="M36" s="232">
        <v>20446062</v>
      </c>
      <c r="N36" s="233">
        <v>2701813</v>
      </c>
      <c r="O36" s="233">
        <v>98504812</v>
      </c>
      <c r="P36" s="233">
        <v>101206625</v>
      </c>
      <c r="Q36" s="234">
        <v>121652687</v>
      </c>
      <c r="R36" s="232">
        <f t="shared" si="14"/>
        <v>18754527</v>
      </c>
      <c r="S36" s="233">
        <f t="shared" si="14"/>
        <v>2288459</v>
      </c>
      <c r="T36" s="233">
        <f t="shared" si="14"/>
        <v>92428456</v>
      </c>
      <c r="U36" s="233">
        <f t="shared" si="14"/>
        <v>94716915</v>
      </c>
      <c r="V36" s="234">
        <f t="shared" si="14"/>
        <v>113471442</v>
      </c>
      <c r="W36" s="570">
        <f t="shared" si="14"/>
        <v>-1491591</v>
      </c>
      <c r="X36" s="571">
        <f t="shared" si="14"/>
        <v>-10912098</v>
      </c>
      <c r="Y36" s="571">
        <f t="shared" si="14"/>
        <v>36464654</v>
      </c>
      <c r="Z36" s="572">
        <f t="shared" si="14"/>
        <v>25552556</v>
      </c>
      <c r="AA36" s="573">
        <f t="shared" si="14"/>
        <v>24060965</v>
      </c>
      <c r="AB36" s="574">
        <f t="shared" si="14"/>
        <v>-1691535</v>
      </c>
      <c r="AC36" s="571">
        <f t="shared" si="14"/>
        <v>-413354</v>
      </c>
      <c r="AD36" s="575">
        <f t="shared" si="14"/>
        <v>-6076356</v>
      </c>
      <c r="AE36" s="571">
        <f t="shared" si="14"/>
        <v>-6489710</v>
      </c>
      <c r="AF36" s="588">
        <f t="shared" si="14"/>
        <v>-8181245</v>
      </c>
      <c r="AG36" s="592" t="s">
        <v>130</v>
      </c>
      <c r="AH36" s="593" t="s">
        <v>130</v>
      </c>
      <c r="AI36" s="593" t="s">
        <v>130</v>
      </c>
      <c r="AJ36" s="593" t="s">
        <v>130</v>
      </c>
      <c r="AK36" s="576" t="s">
        <v>130</v>
      </c>
    </row>
    <row r="37" spans="1:14" ht="15">
      <c r="A37" s="594" t="s">
        <v>281</v>
      </c>
      <c r="B37" s="305"/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305"/>
    </row>
    <row r="39" ht="12.75">
      <c r="L39">
        <v>653927947</v>
      </c>
    </row>
    <row r="40" ht="12.75">
      <c r="L40" s="81">
        <f>L39-L36</f>
        <v>-268126791</v>
      </c>
    </row>
  </sheetData>
  <sheetProtection/>
  <mergeCells count="33">
    <mergeCell ref="W3:AF3"/>
    <mergeCell ref="AG3:AK4"/>
    <mergeCell ref="C4:G4"/>
    <mergeCell ref="H4:L4"/>
    <mergeCell ref="M4:Q4"/>
    <mergeCell ref="R4:V4"/>
    <mergeCell ref="W4:AA4"/>
    <mergeCell ref="AB4:AF4"/>
    <mergeCell ref="A3:A6"/>
    <mergeCell ref="B3:B6"/>
    <mergeCell ref="C3:L3"/>
    <mergeCell ref="M3:V3"/>
    <mergeCell ref="I5:K5"/>
    <mergeCell ref="L5:L6"/>
    <mergeCell ref="M5:M6"/>
    <mergeCell ref="N5:P5"/>
    <mergeCell ref="C5:C6"/>
    <mergeCell ref="D5:F5"/>
    <mergeCell ref="G5:G6"/>
    <mergeCell ref="H5:H6"/>
    <mergeCell ref="W5:W6"/>
    <mergeCell ref="X5:Z5"/>
    <mergeCell ref="Q5:Q6"/>
    <mergeCell ref="R5:R6"/>
    <mergeCell ref="S5:U5"/>
    <mergeCell ref="V5:V6"/>
    <mergeCell ref="AK5:AK6"/>
    <mergeCell ref="AA5:AA6"/>
    <mergeCell ref="AB5:AB6"/>
    <mergeCell ref="AC5:AE5"/>
    <mergeCell ref="AF5:AF6"/>
    <mergeCell ref="AG5:AG6"/>
    <mergeCell ref="AH5:AJ5"/>
  </mergeCells>
  <printOptions horizontalCentered="1" verticalCentered="1"/>
  <pageMargins left="0.3937007874015748" right="0.1968503937007874" top="0.1968503937007874" bottom="0.1968503937007874" header="0.31496062992125984" footer="0.31496062992125984"/>
  <pageSetup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80"/>
  <sheetViews>
    <sheetView zoomScaleSheetLayoutView="90" zoomScalePageLayoutView="0" workbookViewId="0" topLeftCell="A1">
      <pane xSplit="4" ySplit="7" topLeftCell="E24" activePane="bottomRight" state="frozen"/>
      <selection pane="topLeft" activeCell="A1" sqref="A1"/>
      <selection pane="topRight" activeCell="E1" sqref="E1"/>
      <selection pane="bottomLeft" activeCell="A8" sqref="A8"/>
      <selection pane="bottomRight" activeCell="O11" sqref="O11"/>
    </sheetView>
  </sheetViews>
  <sheetFormatPr defaultColWidth="9.140625" defaultRowHeight="12.75"/>
  <cols>
    <col min="1" max="1" width="5.00390625" style="0" customWidth="1"/>
    <col min="2" max="2" width="18.8515625" style="0" customWidth="1"/>
    <col min="3" max="3" width="4.140625" style="0" customWidth="1"/>
    <col min="4" max="4" width="12.7109375" style="0" customWidth="1"/>
    <col min="5" max="5" width="10.28125" style="0" customWidth="1"/>
    <col min="6" max="9" width="12.7109375" style="0" customWidth="1"/>
    <col min="10" max="10" width="11.57421875" style="0" hidden="1" customWidth="1"/>
    <col min="11" max="11" width="0.13671875" style="0" hidden="1" customWidth="1"/>
    <col min="12" max="12" width="11.57421875" style="0" customWidth="1"/>
    <col min="13" max="13" width="12.7109375" style="0" customWidth="1"/>
    <col min="14" max="15" width="11.57421875" style="0" customWidth="1"/>
    <col min="16" max="16" width="9.8515625" style="0" customWidth="1"/>
    <col min="17" max="17" width="11.57421875" style="0" customWidth="1"/>
    <col min="18" max="18" width="9.8515625" style="0" customWidth="1"/>
    <col min="19" max="19" width="10.00390625" style="0" customWidth="1"/>
    <col min="20" max="21" width="13.00390625" style="0" customWidth="1"/>
    <col min="22" max="22" width="8.28125" style="0" customWidth="1"/>
    <col min="23" max="23" width="10.7109375" style="0" customWidth="1"/>
    <col min="24" max="24" width="11.7109375" style="0" customWidth="1"/>
    <col min="25" max="25" width="12.7109375" style="0" customWidth="1"/>
    <col min="26" max="26" width="13.140625" style="0" customWidth="1"/>
    <col min="27" max="27" width="14.28125" style="0" customWidth="1"/>
    <col min="29" max="29" width="9.28125" style="0" bestFit="1" customWidth="1"/>
    <col min="30" max="30" width="9.57421875" style="0" bestFit="1" customWidth="1"/>
    <col min="34" max="35" width="0" style="0" hidden="1" customWidth="1"/>
  </cols>
  <sheetData>
    <row r="1" s="163" customFormat="1" ht="15">
      <c r="U1" s="370" t="s">
        <v>114</v>
      </c>
    </row>
    <row r="2" spans="2:11" ht="14.25">
      <c r="B2" s="2" t="str">
        <f>'Anne-2'!B2</f>
        <v>No. 1-2(1)/Market Share/2013-CP&amp;M </v>
      </c>
      <c r="C2" s="2"/>
      <c r="D2" s="2"/>
      <c r="E2" s="2"/>
      <c r="F2" s="2"/>
      <c r="G2" s="2"/>
      <c r="H2" s="2"/>
      <c r="I2" s="2"/>
      <c r="J2" s="2"/>
      <c r="K2" s="2"/>
    </row>
    <row r="3" ht="9" customHeight="1"/>
    <row r="4" spans="2:3" ht="15">
      <c r="B4" s="26" t="s">
        <v>273</v>
      </c>
      <c r="C4" s="26"/>
    </row>
    <row r="5" spans="4:19" ht="12" customHeight="1">
      <c r="D5">
        <v>1</v>
      </c>
      <c r="E5">
        <v>2</v>
      </c>
      <c r="G5">
        <v>3</v>
      </c>
      <c r="H5">
        <v>4</v>
      </c>
      <c r="I5">
        <v>5</v>
      </c>
      <c r="L5">
        <v>6</v>
      </c>
      <c r="M5">
        <v>7</v>
      </c>
      <c r="N5">
        <v>8</v>
      </c>
      <c r="O5">
        <v>9</v>
      </c>
      <c r="P5">
        <v>10</v>
      </c>
      <c r="Q5">
        <v>11</v>
      </c>
      <c r="R5">
        <v>12</v>
      </c>
      <c r="S5">
        <v>13</v>
      </c>
    </row>
    <row r="6" spans="1:27" ht="16.5" customHeight="1">
      <c r="A6" s="671" t="s">
        <v>62</v>
      </c>
      <c r="B6" s="673" t="s">
        <v>63</v>
      </c>
      <c r="C6" s="671" t="s">
        <v>118</v>
      </c>
      <c r="D6" s="20" t="s">
        <v>64</v>
      </c>
      <c r="E6" s="20"/>
      <c r="F6" s="20"/>
      <c r="G6" s="20"/>
      <c r="H6" s="20"/>
      <c r="I6" s="20"/>
      <c r="J6" s="20"/>
      <c r="K6" s="20"/>
      <c r="L6" s="20"/>
      <c r="M6" s="1"/>
      <c r="N6" s="20"/>
      <c r="O6" s="20"/>
      <c r="P6" s="20"/>
      <c r="Q6" s="20"/>
      <c r="R6" s="20"/>
      <c r="S6" s="20"/>
      <c r="T6" s="670" t="s">
        <v>69</v>
      </c>
      <c r="U6" s="670" t="s">
        <v>70</v>
      </c>
      <c r="V6" s="670" t="s">
        <v>106</v>
      </c>
      <c r="W6" s="669" t="s">
        <v>121</v>
      </c>
      <c r="X6" s="667" t="s">
        <v>101</v>
      </c>
      <c r="Y6" s="47"/>
      <c r="Z6" s="80" t="s">
        <v>274</v>
      </c>
      <c r="AA6" s="48"/>
    </row>
    <row r="7" spans="1:27" ht="43.5" customHeight="1">
      <c r="A7" s="672"/>
      <c r="B7" s="673"/>
      <c r="C7" s="672"/>
      <c r="D7" s="49" t="s">
        <v>100</v>
      </c>
      <c r="E7" s="49" t="s">
        <v>2</v>
      </c>
      <c r="F7" s="37" t="s">
        <v>60</v>
      </c>
      <c r="G7" s="49" t="s">
        <v>3</v>
      </c>
      <c r="H7" s="49" t="s">
        <v>65</v>
      </c>
      <c r="I7" s="49" t="s">
        <v>124</v>
      </c>
      <c r="J7" s="49" t="s">
        <v>125</v>
      </c>
      <c r="K7" s="49" t="s">
        <v>126</v>
      </c>
      <c r="L7" s="49" t="s">
        <v>66</v>
      </c>
      <c r="M7" s="49" t="s">
        <v>67</v>
      </c>
      <c r="N7" s="49" t="s">
        <v>68</v>
      </c>
      <c r="O7" s="165" t="s">
        <v>136</v>
      </c>
      <c r="P7" s="165" t="s">
        <v>146</v>
      </c>
      <c r="Q7" s="50" t="s">
        <v>202</v>
      </c>
      <c r="R7" s="50" t="s">
        <v>201</v>
      </c>
      <c r="S7" s="49" t="s">
        <v>200</v>
      </c>
      <c r="T7" s="670"/>
      <c r="U7" s="670"/>
      <c r="V7" s="670"/>
      <c r="W7" s="668"/>
      <c r="X7" s="668"/>
      <c r="Y7" s="47" t="s">
        <v>47</v>
      </c>
      <c r="Z7" s="40" t="s">
        <v>87</v>
      </c>
      <c r="AA7" s="51" t="s">
        <v>88</v>
      </c>
    </row>
    <row r="8" spans="1:41" ht="14.25" customHeight="1">
      <c r="A8" s="5">
        <v>1</v>
      </c>
      <c r="B8" s="6" t="s">
        <v>21</v>
      </c>
      <c r="C8" s="6"/>
      <c r="D8" s="36"/>
      <c r="E8" s="5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>
        <f>G8+H8+L8+I8+M8+N8+S8+R8+Q8+O8+P8</f>
        <v>0</v>
      </c>
      <c r="U8" s="36">
        <f aca="true" t="shared" si="0" ref="U8:U33">F8+T8</f>
        <v>0</v>
      </c>
      <c r="V8" s="89"/>
      <c r="W8" s="57"/>
      <c r="X8" s="57"/>
      <c r="Y8" s="36">
        <f>Z8+AA8</f>
        <v>486.83827903019665</v>
      </c>
      <c r="Z8" s="58">
        <f>'Anne-1'!AC8</f>
        <v>184.46322671963932</v>
      </c>
      <c r="AA8" s="58">
        <f>'Anne-1'!AD8</f>
        <v>302.3750523105573</v>
      </c>
      <c r="AC8" s="73">
        <v>192.9999999999999</v>
      </c>
      <c r="AD8" s="73">
        <v>301</v>
      </c>
      <c r="AO8">
        <v>13.774230059876057</v>
      </c>
    </row>
    <row r="9" spans="1:41" ht="15">
      <c r="A9" s="5">
        <v>2</v>
      </c>
      <c r="B9" s="6" t="s">
        <v>22</v>
      </c>
      <c r="C9" s="85">
        <v>3</v>
      </c>
      <c r="D9" s="36">
        <f>'Anne-6'!D10+'Anne-7'!F10+'Anne-8'!D10</f>
        <v>11460189</v>
      </c>
      <c r="E9" s="56"/>
      <c r="F9" s="36">
        <f>D9+E9</f>
        <v>11460189</v>
      </c>
      <c r="G9" s="84">
        <f>'Anne-6'!G10+'Anne-8'!H10</f>
        <v>19826623</v>
      </c>
      <c r="H9" s="8">
        <f>'Anne-6'!S10+'Anne-7'!I10+'Anne-8'!I10</f>
        <v>5995250</v>
      </c>
      <c r="I9" s="36">
        <f>'Anne-6'!I10+'Anne-8'!M10</f>
        <v>6156458</v>
      </c>
      <c r="J9" s="36">
        <f>G9-D9</f>
        <v>8366434</v>
      </c>
      <c r="K9" s="105">
        <f>J9/D9</f>
        <v>0.7300432828812858</v>
      </c>
      <c r="L9" s="8">
        <f>'Anne-8'!J10+'Anne-7'!J10</f>
        <v>6647452</v>
      </c>
      <c r="M9" s="84">
        <f>'Anne-6'!N10</f>
        <v>12038573</v>
      </c>
      <c r="N9" s="36">
        <f>'Anne-6'!K10</f>
        <v>1940154</v>
      </c>
      <c r="O9" s="36">
        <f>'Anne-6'!V10</f>
        <v>4378406</v>
      </c>
      <c r="P9" s="36">
        <f>'Anne-6'!W10</f>
        <v>0</v>
      </c>
      <c r="Q9" s="36">
        <f>+'Anne-7'!L10+'Anne-8'!L10</f>
        <v>0</v>
      </c>
      <c r="R9" s="36"/>
      <c r="S9" s="36"/>
      <c r="T9" s="36">
        <f aca="true" t="shared" si="1" ref="T9:T37">G9+H9+L9+I9+M9+N9+S9+R9+Q9+O9+P9</f>
        <v>56982916</v>
      </c>
      <c r="U9" s="36">
        <f t="shared" si="0"/>
        <v>68443105</v>
      </c>
      <c r="V9" s="139">
        <f>D9/U9*100</f>
        <v>16.744110308847034</v>
      </c>
      <c r="W9" s="57">
        <f>U9/(X9*1000)</f>
        <v>0.7876824324518726</v>
      </c>
      <c r="X9" s="59">
        <f>Y9</f>
        <v>86891.75</v>
      </c>
      <c r="Y9" s="36">
        <f aca="true" t="shared" si="2" ref="Y9:Y37">Z9+AA9</f>
        <v>86891.75</v>
      </c>
      <c r="Z9" s="58">
        <f>'Anne-1'!AC9</f>
        <v>23973</v>
      </c>
      <c r="AA9" s="58">
        <f>'Anne-1'!AD9</f>
        <v>62918.75</v>
      </c>
      <c r="AC9" s="73">
        <v>23487</v>
      </c>
      <c r="AD9" s="73">
        <v>61248</v>
      </c>
      <c r="AO9">
        <v>15.992765979229496</v>
      </c>
    </row>
    <row r="10" spans="1:41" ht="15">
      <c r="A10" s="5">
        <v>3</v>
      </c>
      <c r="B10" s="6" t="s">
        <v>23</v>
      </c>
      <c r="C10" s="85">
        <v>5</v>
      </c>
      <c r="D10" s="36">
        <f>'Anne-6'!D11+'Anne-7'!F11+'Anne-8'!D11</f>
        <v>1439272</v>
      </c>
      <c r="E10" s="56"/>
      <c r="F10" s="36">
        <f aca="true" t="shared" si="3" ref="F10:F36">D10+E10</f>
        <v>1439272</v>
      </c>
      <c r="G10" s="84">
        <f>'Anne-6'!G11+'Anne-8'!H11</f>
        <v>4394850</v>
      </c>
      <c r="H10" s="84">
        <f>'Anne-6'!S11+'Anne-7'!I11+'Anne-8'!I11</f>
        <v>2579770</v>
      </c>
      <c r="I10" s="84">
        <f>'Anne-6'!I11+'Anne-8'!M11</f>
        <v>2729522</v>
      </c>
      <c r="J10" s="36"/>
      <c r="K10" s="36"/>
      <c r="L10" s="8">
        <f>'Anne-8'!J11+'Anne-7'!J11</f>
        <v>0</v>
      </c>
      <c r="M10" s="8">
        <f>'Anne-6'!N11</f>
        <v>547494</v>
      </c>
      <c r="N10" s="84">
        <f>'Anne-6'!K11</f>
        <v>3706030</v>
      </c>
      <c r="O10" s="36">
        <f>'Anne-6'!V11</f>
        <v>0</v>
      </c>
      <c r="P10" s="36">
        <f>'Anne-6'!W11</f>
        <v>0</v>
      </c>
      <c r="Q10" s="36">
        <f>+'Anne-7'!L11+'Anne-8'!L11</f>
        <v>0</v>
      </c>
      <c r="R10" s="36"/>
      <c r="S10" s="36"/>
      <c r="T10" s="36">
        <f t="shared" si="1"/>
        <v>13957666</v>
      </c>
      <c r="U10" s="36">
        <f t="shared" si="0"/>
        <v>15396938</v>
      </c>
      <c r="V10" s="139">
        <f>D10/U10*100</f>
        <v>9.347780708086244</v>
      </c>
      <c r="W10" s="57">
        <f aca="true" t="shared" si="4" ref="W10:W37">U10/(X10*1000)</f>
        <v>0.4862933184538691</v>
      </c>
      <c r="X10" s="59">
        <f aca="true" t="shared" si="5" ref="X10:X36">Y10</f>
        <v>31661.833333333347</v>
      </c>
      <c r="Y10" s="36">
        <f t="shared" si="2"/>
        <v>31661.833333333347</v>
      </c>
      <c r="Z10" s="58">
        <f>'Anne-1'!AC10</f>
        <v>4822</v>
      </c>
      <c r="AA10" s="58">
        <f>'Anne-1'!AD10</f>
        <v>26839.833333333347</v>
      </c>
      <c r="AC10" s="73">
        <v>4571.000000000004</v>
      </c>
      <c r="AD10" s="73">
        <v>25997</v>
      </c>
      <c r="AO10">
        <v>15.942150650811174</v>
      </c>
    </row>
    <row r="11" spans="1:41" ht="15">
      <c r="A11" s="5">
        <v>4</v>
      </c>
      <c r="B11" s="6" t="s">
        <v>24</v>
      </c>
      <c r="C11" s="85">
        <v>7</v>
      </c>
      <c r="D11" s="36">
        <f>'Anne-6'!D12+'Anne-7'!F12+'Anne-8'!D12</f>
        <v>3539680</v>
      </c>
      <c r="E11" s="56"/>
      <c r="F11" s="36">
        <f t="shared" si="3"/>
        <v>3539680</v>
      </c>
      <c r="G11" s="84">
        <f>'Anne-6'!G12+'Anne-8'!H12</f>
        <v>21485973</v>
      </c>
      <c r="H11" s="84">
        <f>'Anne-6'!S12+'Anne-7'!I12+'Anne-8'!I12</f>
        <v>9171391</v>
      </c>
      <c r="I11" s="84">
        <f>'Anne-6'!I12+'Anne-8'!M12</f>
        <v>7113547</v>
      </c>
      <c r="J11" s="36">
        <f>G11-D11</f>
        <v>17946293</v>
      </c>
      <c r="K11" s="105">
        <f>J11/D11</f>
        <v>5.070032601817114</v>
      </c>
      <c r="L11" s="8">
        <f>'Anne-8'!J12+'Anne-7'!J12</f>
        <v>2887798</v>
      </c>
      <c r="M11" s="84">
        <f>'Anne-6'!N12</f>
        <v>6277988</v>
      </c>
      <c r="N11" s="84">
        <f>'Anne-6'!K12</f>
        <v>5177910</v>
      </c>
      <c r="O11" s="84">
        <f>'Anne-6'!V12</f>
        <v>4792525</v>
      </c>
      <c r="P11" s="36">
        <f>'Anne-6'!W12</f>
        <v>0</v>
      </c>
      <c r="Q11" s="36">
        <f>+'Anne-7'!L12+'Anne-8'!L12</f>
        <v>0</v>
      </c>
      <c r="R11" s="36"/>
      <c r="S11" s="36"/>
      <c r="T11" s="36">
        <f t="shared" si="1"/>
        <v>56907132</v>
      </c>
      <c r="U11" s="36">
        <f t="shared" si="0"/>
        <v>60446812</v>
      </c>
      <c r="V11" s="139">
        <f>D11/U11*100</f>
        <v>5.855858866469252</v>
      </c>
      <c r="W11" s="57">
        <f t="shared" si="4"/>
        <v>0.45058142231967874</v>
      </c>
      <c r="X11" s="59">
        <f>Y11+Y17</f>
        <v>134152.91666666666</v>
      </c>
      <c r="Y11" s="36">
        <f t="shared" si="2"/>
        <v>101450.65894821193</v>
      </c>
      <c r="Z11" s="58">
        <f>'Anne-1'!AC11</f>
        <v>10710.394720120436</v>
      </c>
      <c r="AA11" s="58">
        <f>'Anne-1'!AD11</f>
        <v>90740.26422809149</v>
      </c>
      <c r="AC11" s="73">
        <v>10279.999999999993</v>
      </c>
      <c r="AD11" s="73">
        <v>87440</v>
      </c>
      <c r="AO11">
        <v>14.894723151844975</v>
      </c>
    </row>
    <row r="12" spans="1:41" ht="15" customHeight="1">
      <c r="A12" s="5">
        <v>5</v>
      </c>
      <c r="B12" s="6" t="s">
        <v>25</v>
      </c>
      <c r="C12" s="85"/>
      <c r="D12" s="36"/>
      <c r="E12" s="56"/>
      <c r="F12" s="36"/>
      <c r="G12" s="8"/>
      <c r="H12" s="36"/>
      <c r="I12" s="36"/>
      <c r="J12" s="36"/>
      <c r="K12" s="36"/>
      <c r="L12" s="8"/>
      <c r="M12" s="36"/>
      <c r="N12" s="36"/>
      <c r="O12" s="36"/>
      <c r="P12" s="36"/>
      <c r="Q12" s="36"/>
      <c r="R12" s="36"/>
      <c r="S12" s="36"/>
      <c r="T12" s="36">
        <f t="shared" si="1"/>
        <v>0</v>
      </c>
      <c r="U12" s="36">
        <f t="shared" si="0"/>
        <v>0</v>
      </c>
      <c r="V12" s="139"/>
      <c r="W12" s="57" t="e">
        <f t="shared" si="4"/>
        <v>#DIV/0!</v>
      </c>
      <c r="X12" s="59"/>
      <c r="Y12" s="36">
        <f t="shared" si="2"/>
        <v>25382.425042127055</v>
      </c>
      <c r="Z12" s="58">
        <f>'Anne-1'!AC12</f>
        <v>5898.019457836249</v>
      </c>
      <c r="AA12" s="58">
        <f>'Anne-1'!AD12</f>
        <v>19484.405584290806</v>
      </c>
      <c r="AC12" s="73">
        <v>5599.999999999996</v>
      </c>
      <c r="AD12" s="73">
        <v>18657.999999999985</v>
      </c>
      <c r="AO12">
        <v>22.46874083820653</v>
      </c>
    </row>
    <row r="13" spans="1:41" ht="15">
      <c r="A13" s="5">
        <v>6</v>
      </c>
      <c r="B13" s="6" t="s">
        <v>26</v>
      </c>
      <c r="C13" s="85">
        <v>5</v>
      </c>
      <c r="D13" s="36">
        <f>'Anne-6'!D14+'Anne-7'!F14+'Anne-8'!D14</f>
        <v>5889279</v>
      </c>
      <c r="E13" s="56"/>
      <c r="F13" s="36">
        <f t="shared" si="3"/>
        <v>5889279</v>
      </c>
      <c r="G13" s="84">
        <f>'Anne-6'!G14+'Anne-8'!H14</f>
        <v>7294272</v>
      </c>
      <c r="H13" s="84">
        <f>'Anne-6'!S14+'Anne-7'!I14+'Anne-8'!I14</f>
        <v>6824877</v>
      </c>
      <c r="I13" s="84">
        <f>'Anne-6'!I14+'Anne-8'!M14</f>
        <v>17047515</v>
      </c>
      <c r="J13" s="36">
        <f>I13-D13</f>
        <v>11158236</v>
      </c>
      <c r="K13" s="105">
        <f>J13/D13</f>
        <v>1.8946692795501792</v>
      </c>
      <c r="L13" s="8">
        <f>'Anne-8'!J14+'Anne-7'!J14</f>
        <v>2919264</v>
      </c>
      <c r="M13" s="84">
        <f>'Anne-6'!N14</f>
        <v>8938782</v>
      </c>
      <c r="N13" s="36">
        <f>'Anne-6'!K14</f>
        <v>30773</v>
      </c>
      <c r="O13" s="36">
        <f>'Anne-6'!V14</f>
        <v>5122178</v>
      </c>
      <c r="P13" s="36">
        <f>'Anne-6'!W14</f>
        <v>1375776</v>
      </c>
      <c r="Q13" s="36">
        <f>+'Anne-7'!L14+'Anne-8'!L14</f>
        <v>177527</v>
      </c>
      <c r="R13" s="36"/>
      <c r="S13" s="36"/>
      <c r="T13" s="36">
        <f t="shared" si="1"/>
        <v>49730964</v>
      </c>
      <c r="U13" s="36">
        <f t="shared" si="0"/>
        <v>55620243</v>
      </c>
      <c r="V13" s="139">
        <f>D13/U13*100</f>
        <v>10.588373373341788</v>
      </c>
      <c r="W13" s="57">
        <f t="shared" si="4"/>
        <v>0.8975289499694076</v>
      </c>
      <c r="X13" s="59">
        <f t="shared" si="5"/>
        <v>61970.41666666666</v>
      </c>
      <c r="Y13" s="36">
        <f t="shared" si="2"/>
        <v>61970.41666666666</v>
      </c>
      <c r="Z13" s="58">
        <f>'Anne-1'!AC13</f>
        <v>25547.916666666653</v>
      </c>
      <c r="AA13" s="58">
        <f>'Anne-1'!AD13</f>
        <v>36422.5</v>
      </c>
      <c r="AC13" s="73">
        <v>24045.999999999985</v>
      </c>
      <c r="AD13" s="73">
        <v>35597.99999999997</v>
      </c>
      <c r="AO13">
        <v>30.493285040347402</v>
      </c>
    </row>
    <row r="14" spans="1:41" ht="15">
      <c r="A14" s="5">
        <v>7</v>
      </c>
      <c r="B14" s="6" t="s">
        <v>27</v>
      </c>
      <c r="C14" s="85">
        <v>3</v>
      </c>
      <c r="D14" s="36">
        <f>'Anne-6'!D15+'Anne-7'!F15+'Anne-8'!D15</f>
        <v>3715883</v>
      </c>
      <c r="E14" s="56"/>
      <c r="F14" s="36">
        <f t="shared" si="3"/>
        <v>3715883</v>
      </c>
      <c r="G14" s="8">
        <f>'Anne-6'!G15+'Anne-8'!H15</f>
        <v>2385308</v>
      </c>
      <c r="H14" s="8">
        <f>'Anne-6'!S15+'Anne-7'!I15+'Anne-8'!I15</f>
        <v>2196844</v>
      </c>
      <c r="I14" s="84">
        <f>'Anne-6'!I15+'Anne-8'!M15</f>
        <v>4808081</v>
      </c>
      <c r="J14" s="36"/>
      <c r="K14" s="36"/>
      <c r="L14" s="8">
        <f>'Anne-8'!J15+'Anne-7'!J15</f>
        <v>2691178</v>
      </c>
      <c r="M14" s="84">
        <f>'Anne-6'!N15</f>
        <v>4061249</v>
      </c>
      <c r="N14" s="36">
        <f>'Anne-6'!K15</f>
        <v>11092</v>
      </c>
      <c r="O14" s="36">
        <f>'Anne-6'!V15</f>
        <v>0</v>
      </c>
      <c r="P14" s="36">
        <f>'Anne-6'!W15</f>
        <v>1385674</v>
      </c>
      <c r="Q14" s="36">
        <f>+'Anne-7'!L15+'Anne-8'!L15</f>
        <v>0</v>
      </c>
      <c r="R14" s="36"/>
      <c r="S14" s="36"/>
      <c r="T14" s="36">
        <f t="shared" si="1"/>
        <v>17539426</v>
      </c>
      <c r="U14" s="36">
        <f t="shared" si="0"/>
        <v>21255309</v>
      </c>
      <c r="V14" s="139">
        <f>D14/U14*100</f>
        <v>17.482140579560618</v>
      </c>
      <c r="W14" s="57">
        <f t="shared" si="4"/>
        <v>0.7978445061012038</v>
      </c>
      <c r="X14" s="59">
        <f t="shared" si="5"/>
        <v>26640.91666666667</v>
      </c>
      <c r="Y14" s="36">
        <f t="shared" si="2"/>
        <v>26640.91666666667</v>
      </c>
      <c r="Z14" s="58">
        <f>'Anne-1'!AC14</f>
        <v>9345.166666666673</v>
      </c>
      <c r="AA14" s="58">
        <f>'Anne-1'!AD14</f>
        <v>17295.75</v>
      </c>
      <c r="AC14" s="73">
        <v>8555.999999999993</v>
      </c>
      <c r="AD14" s="73">
        <v>16883</v>
      </c>
      <c r="AO14">
        <v>20.876024789608948</v>
      </c>
    </row>
    <row r="15" spans="1:41" s="437" customFormat="1" ht="15">
      <c r="A15" s="432">
        <v>8</v>
      </c>
      <c r="B15" s="433" t="s">
        <v>28</v>
      </c>
      <c r="C15" s="432">
        <v>2</v>
      </c>
      <c r="D15" s="96">
        <f>'Anne-6'!D16+'Anne-7'!F16+'Anne-8'!D16</f>
        <v>1778296</v>
      </c>
      <c r="E15" s="439"/>
      <c r="F15" s="96">
        <f t="shared" si="3"/>
        <v>1778296</v>
      </c>
      <c r="G15" s="93">
        <f>'Anne-6'!G16+'Anne-8'!H16</f>
        <v>2155419</v>
      </c>
      <c r="H15" s="70">
        <f>'Anne-6'!S16+'Anne-7'!I16+'Anne-8'!I16</f>
        <v>1521302</v>
      </c>
      <c r="I15" s="36">
        <f>'Anne-6'!I16+'Anne-8'!M16</f>
        <v>527782</v>
      </c>
      <c r="J15" s="96"/>
      <c r="K15" s="96"/>
      <c r="L15" s="70">
        <f>'Anne-8'!J16+'Anne-7'!J16</f>
        <v>133748</v>
      </c>
      <c r="M15" s="96">
        <f>'Anne-6'!N16</f>
        <v>512266</v>
      </c>
      <c r="N15" s="96">
        <f>'Anne-6'!K16</f>
        <v>784007</v>
      </c>
      <c r="O15" s="96">
        <f>'Anne-6'!V16</f>
        <v>0</v>
      </c>
      <c r="P15" s="96">
        <f>'Anne-6'!W16</f>
        <v>0</v>
      </c>
      <c r="Q15" s="96">
        <f>+'Anne-7'!L16+'Anne-8'!L16</f>
        <v>0</v>
      </c>
      <c r="R15" s="96"/>
      <c r="S15" s="96"/>
      <c r="T15" s="96">
        <f t="shared" si="1"/>
        <v>5634524</v>
      </c>
      <c r="U15" s="96">
        <f t="shared" si="0"/>
        <v>7412820</v>
      </c>
      <c r="V15" s="440">
        <f>D15/U15*100</f>
        <v>23.9894668965387</v>
      </c>
      <c r="W15" s="441">
        <f t="shared" si="4"/>
        <v>1.0630747167646644</v>
      </c>
      <c r="X15" s="442">
        <f t="shared" si="5"/>
        <v>6972.999999999996</v>
      </c>
      <c r="Y15" s="96">
        <f t="shared" si="2"/>
        <v>6972.999999999996</v>
      </c>
      <c r="Z15" s="86">
        <f>'Anne-1'!AC15</f>
        <v>797.5833333333329</v>
      </c>
      <c r="AA15" s="86">
        <f>'Anne-1'!AD15</f>
        <v>6175.416666666663</v>
      </c>
      <c r="AC15" s="443">
        <v>750.0000000000005</v>
      </c>
      <c r="AD15" s="443">
        <v>6042.999999999996</v>
      </c>
      <c r="AO15" s="437">
        <v>15.143006936224735</v>
      </c>
    </row>
    <row r="16" spans="1:41" ht="15">
      <c r="A16" s="5">
        <v>9</v>
      </c>
      <c r="B16" s="6" t="s">
        <v>29</v>
      </c>
      <c r="C16" s="85">
        <v>3</v>
      </c>
      <c r="D16" s="36">
        <f>'Anne-6'!D17+'Anne-7'!F17+'Anne-8'!D17</f>
        <v>1435017</v>
      </c>
      <c r="E16" s="56"/>
      <c r="F16" s="36">
        <f t="shared" si="3"/>
        <v>1435017</v>
      </c>
      <c r="G16" s="84">
        <f>'Anne-6'!G17+'Anne-8'!H17</f>
        <v>2571114</v>
      </c>
      <c r="H16" s="36">
        <f>'Anne-6'!S17+'Anne-7'!I17+'Anne-8'!I17</f>
        <v>714878</v>
      </c>
      <c r="I16" s="36">
        <f>'Anne-6'!I17+'Anne-8'!M17</f>
        <v>732422</v>
      </c>
      <c r="J16" s="36"/>
      <c r="K16" s="36"/>
      <c r="L16" s="8">
        <f>'Anne-8'!J17+'Anne-7'!J17</f>
        <v>0</v>
      </c>
      <c r="M16" s="36">
        <f>'Anne-6'!N17</f>
        <v>306493</v>
      </c>
      <c r="N16" s="84">
        <f>'Anne-6'!K17</f>
        <v>2108278</v>
      </c>
      <c r="O16" s="36">
        <f>'Anne-6'!V17</f>
        <v>0</v>
      </c>
      <c r="P16" s="36">
        <f>'Anne-6'!W17</f>
        <v>0</v>
      </c>
      <c r="Q16" s="36">
        <f>+'Anne-7'!L17+'Anne-8'!L17</f>
        <v>0</v>
      </c>
      <c r="R16" s="36"/>
      <c r="S16" s="36"/>
      <c r="T16" s="36">
        <f t="shared" si="1"/>
        <v>6433185</v>
      </c>
      <c r="U16" s="36">
        <f t="shared" si="0"/>
        <v>7868202</v>
      </c>
      <c r="V16" s="139">
        <f>D16/U16*100</f>
        <v>18.238181988718644</v>
      </c>
      <c r="W16" s="57">
        <f t="shared" si="4"/>
        <v>0.6481131780178745</v>
      </c>
      <c r="X16" s="59">
        <f t="shared" si="5"/>
        <v>12140.166666666668</v>
      </c>
      <c r="Y16" s="36">
        <f t="shared" si="2"/>
        <v>12140.166666666668</v>
      </c>
      <c r="Z16" s="58">
        <f>'Anne-1'!AC16</f>
        <v>3329.6666666666683</v>
      </c>
      <c r="AA16" s="58">
        <f>'Anne-1'!AD16</f>
        <v>8810.5</v>
      </c>
      <c r="AC16" s="73">
        <v>3143.000000000002</v>
      </c>
      <c r="AD16" s="73">
        <v>8574.999999999993</v>
      </c>
      <c r="AO16">
        <v>27.14755839727522</v>
      </c>
    </row>
    <row r="17" spans="1:41" ht="15" customHeight="1">
      <c r="A17" s="5">
        <v>10</v>
      </c>
      <c r="B17" s="6" t="s">
        <v>30</v>
      </c>
      <c r="C17" s="85"/>
      <c r="D17" s="36"/>
      <c r="E17" s="56"/>
      <c r="F17" s="36"/>
      <c r="G17" s="8"/>
      <c r="H17" s="36"/>
      <c r="I17" s="36"/>
      <c r="J17" s="36"/>
      <c r="K17" s="36"/>
      <c r="L17" s="8"/>
      <c r="M17" s="36"/>
      <c r="N17" s="36"/>
      <c r="O17" s="36"/>
      <c r="P17" s="36"/>
      <c r="Q17" s="36"/>
      <c r="R17" s="36"/>
      <c r="S17" s="36"/>
      <c r="T17" s="36">
        <f t="shared" si="1"/>
        <v>0</v>
      </c>
      <c r="U17" s="36">
        <f t="shared" si="0"/>
        <v>0</v>
      </c>
      <c r="V17" s="139"/>
      <c r="W17" s="57" t="e">
        <f t="shared" si="4"/>
        <v>#DIV/0!</v>
      </c>
      <c r="X17" s="59"/>
      <c r="Y17" s="36">
        <f t="shared" si="2"/>
        <v>32702.257718454737</v>
      </c>
      <c r="Z17" s="58">
        <f>'Anne-1'!AC17</f>
        <v>7577.1886132128975</v>
      </c>
      <c r="AA17" s="58">
        <f>'Anne-1'!AD17</f>
        <v>25125.06910524184</v>
      </c>
      <c r="AC17" s="73">
        <v>7330.000000000004</v>
      </c>
      <c r="AD17" s="73">
        <v>24141.999999999985</v>
      </c>
      <c r="AO17">
        <v>16.153439471362844</v>
      </c>
    </row>
    <row r="18" spans="1:41" ht="15">
      <c r="A18" s="5">
        <v>11</v>
      </c>
      <c r="B18" s="6" t="s">
        <v>31</v>
      </c>
      <c r="C18" s="85">
        <v>2</v>
      </c>
      <c r="D18" s="36">
        <f>'Anne-6'!D19+'Anne-7'!F19+'Anne-8'!D19</f>
        <v>8789929</v>
      </c>
      <c r="E18" s="56"/>
      <c r="F18" s="36">
        <f t="shared" si="3"/>
        <v>8789929</v>
      </c>
      <c r="G18" s="84">
        <f>'Anne-6'!G19+'Anne-8'!H19</f>
        <v>17559238</v>
      </c>
      <c r="H18" s="8">
        <f>'Anne-6'!S19+'Anne-7'!I19+'Anne-8'!I19</f>
        <v>6529852</v>
      </c>
      <c r="I18" s="36">
        <f>'Anne-6'!I19+'Anne-8'!M19</f>
        <v>7150617</v>
      </c>
      <c r="J18" s="36">
        <f>G18-D18</f>
        <v>8769309</v>
      </c>
      <c r="K18" s="105">
        <f>J18/D18</f>
        <v>0.9976541334975516</v>
      </c>
      <c r="L18" s="8">
        <f>'Anne-8'!J19+'Anne-7'!J19</f>
        <v>6061219</v>
      </c>
      <c r="M18" s="36">
        <f>'Anne-6'!N19</f>
        <v>6600203</v>
      </c>
      <c r="N18" s="36">
        <f>'Anne-6'!K19</f>
        <v>2546089</v>
      </c>
      <c r="O18" s="36">
        <f>'Anne-6'!V19</f>
        <v>0</v>
      </c>
      <c r="P18" s="36">
        <f>'Anne-6'!W19</f>
        <v>0</v>
      </c>
      <c r="Q18" s="36">
        <f>+'Anne-7'!L19+'Anne-8'!L19</f>
        <v>1881588</v>
      </c>
      <c r="R18" s="36"/>
      <c r="S18" s="36"/>
      <c r="T18" s="36">
        <f t="shared" si="1"/>
        <v>48328806</v>
      </c>
      <c r="U18" s="36">
        <f t="shared" si="0"/>
        <v>57118735</v>
      </c>
      <c r="V18" s="139">
        <f>D18/U18*100</f>
        <v>15.388871969941212</v>
      </c>
      <c r="W18" s="57">
        <f t="shared" si="4"/>
        <v>0.9338492706865877</v>
      </c>
      <c r="X18" s="59">
        <f t="shared" si="5"/>
        <v>61164.83333333331</v>
      </c>
      <c r="Y18" s="36">
        <f t="shared" si="2"/>
        <v>61164.83333333331</v>
      </c>
      <c r="Z18" s="58">
        <f>'Anne-1'!AC18</f>
        <v>22944</v>
      </c>
      <c r="AA18" s="58">
        <f>'Anne-1'!AD18</f>
        <v>38220.83333333331</v>
      </c>
      <c r="AC18" s="73">
        <v>22097.999999999985</v>
      </c>
      <c r="AD18" s="73">
        <v>37320.99999999997</v>
      </c>
      <c r="AO18">
        <v>16.530629255472277</v>
      </c>
    </row>
    <row r="19" spans="1:41" ht="15">
      <c r="A19" s="5">
        <v>12</v>
      </c>
      <c r="B19" s="6" t="s">
        <v>32</v>
      </c>
      <c r="C19" s="104">
        <v>1</v>
      </c>
      <c r="D19" s="36">
        <f>'Anne-6'!D20+'Anne-7'!F20+'Anne-8'!D20</f>
        <v>11208519</v>
      </c>
      <c r="E19" s="56"/>
      <c r="F19" s="36">
        <f t="shared" si="3"/>
        <v>11208519</v>
      </c>
      <c r="G19" s="8">
        <f>'Anne-6'!G20+'Anne-8'!H20</f>
        <v>3748510</v>
      </c>
      <c r="H19" s="36">
        <f>'Anne-6'!S20+'Anne-7'!I20+'Anne-8'!I20</f>
        <v>2247343</v>
      </c>
      <c r="I19" s="36">
        <f>'Anne-6'!I20+'Anne-8'!M20</f>
        <v>6625536</v>
      </c>
      <c r="J19" s="36"/>
      <c r="K19" s="36"/>
      <c r="L19" s="8">
        <f>'Anne-8'!J20+'Anne-7'!J20</f>
        <v>1675942</v>
      </c>
      <c r="M19" s="36">
        <f>'Anne-6'!N20</f>
        <v>8563435</v>
      </c>
      <c r="N19" s="36">
        <f>'Anne-6'!K20</f>
        <v>1183</v>
      </c>
      <c r="O19" s="36">
        <f>'Anne-6'!V20</f>
        <v>0</v>
      </c>
      <c r="P19" s="36">
        <f>'Anne-6'!W20</f>
        <v>0</v>
      </c>
      <c r="Q19" s="36">
        <f>+'Anne-7'!L20+'Anne-8'!L20</f>
        <v>428749</v>
      </c>
      <c r="R19" s="36"/>
      <c r="S19" s="36"/>
      <c r="T19" s="36">
        <f t="shared" si="1"/>
        <v>23290698</v>
      </c>
      <c r="U19" s="36">
        <f t="shared" si="0"/>
        <v>34499217</v>
      </c>
      <c r="V19" s="139">
        <f>D19/U19*100</f>
        <v>32.48919823310772</v>
      </c>
      <c r="W19" s="57">
        <f t="shared" si="4"/>
        <v>0.9768375793698547</v>
      </c>
      <c r="X19" s="59">
        <f t="shared" si="5"/>
        <v>35317.25</v>
      </c>
      <c r="Y19" s="36">
        <f t="shared" si="2"/>
        <v>35317.25</v>
      </c>
      <c r="Z19" s="58">
        <f>'Anne-1'!AC19</f>
        <v>8941</v>
      </c>
      <c r="AA19" s="58">
        <f>'Anne-1'!AD19</f>
        <v>26376.25</v>
      </c>
      <c r="AC19" s="73">
        <v>8850.999999999993</v>
      </c>
      <c r="AD19" s="73">
        <v>25788.000000000015</v>
      </c>
      <c r="AO19">
        <v>24.81916077826601</v>
      </c>
    </row>
    <row r="20" spans="1:41" ht="15">
      <c r="A20" s="5">
        <v>13</v>
      </c>
      <c r="B20" s="6" t="s">
        <v>33</v>
      </c>
      <c r="C20" s="85">
        <v>4</v>
      </c>
      <c r="D20" s="36">
        <f>'Anne-6'!D21+'Anne-7'!F21+'Anne-8'!D21</f>
        <v>5826846</v>
      </c>
      <c r="E20" s="56"/>
      <c r="F20" s="36">
        <f t="shared" si="3"/>
        <v>5826846</v>
      </c>
      <c r="G20" s="84">
        <f>'Anne-6'!G21+'Anne-8'!H21</f>
        <v>10710975</v>
      </c>
      <c r="H20" s="84">
        <f>'Anne-6'!S21+'Anne-7'!I21+'Anne-8'!I21</f>
        <v>12854365</v>
      </c>
      <c r="I20" s="36">
        <f>'Anne-6'!I21+'Anne-8'!M21</f>
        <v>4671684</v>
      </c>
      <c r="J20" s="36">
        <f>H20-D20</f>
        <v>7027519</v>
      </c>
      <c r="K20" s="105">
        <f>J20/D20</f>
        <v>1.2060588180981615</v>
      </c>
      <c r="L20" s="8">
        <f>'Anne-8'!J21+'Anne-7'!J21</f>
        <v>4055448</v>
      </c>
      <c r="M20" s="84">
        <f>'Anne-6'!N21</f>
        <v>16765452</v>
      </c>
      <c r="N20" s="36">
        <f>'Anne-6'!K21</f>
        <v>22694</v>
      </c>
      <c r="O20" s="36">
        <f>'Anne-6'!V21</f>
        <v>0</v>
      </c>
      <c r="P20" s="36">
        <f>'Anne-6'!W21</f>
        <v>1471704</v>
      </c>
      <c r="Q20" s="36">
        <f>+'Anne-7'!L21+'Anne-8'!L21</f>
        <v>0</v>
      </c>
      <c r="R20" s="36"/>
      <c r="S20" s="36"/>
      <c r="T20" s="36">
        <f t="shared" si="1"/>
        <v>50552322</v>
      </c>
      <c r="U20" s="36">
        <f t="shared" si="0"/>
        <v>56379168</v>
      </c>
      <c r="V20" s="139">
        <f>D20/U20*100</f>
        <v>10.335104625878836</v>
      </c>
      <c r="W20" s="57">
        <f t="shared" si="4"/>
        <v>0.5597350005832727</v>
      </c>
      <c r="X20" s="59">
        <f>Y20+Y12</f>
        <v>100724.75</v>
      </c>
      <c r="Y20" s="36">
        <f>Z20+AA20</f>
        <v>75342.32495787294</v>
      </c>
      <c r="Z20" s="58">
        <f>'Anne-1'!AC20</f>
        <v>21334.563875497057</v>
      </c>
      <c r="AA20" s="58">
        <f>'Anne-1'!AD20</f>
        <v>54007.76108237589</v>
      </c>
      <c r="AC20" s="73">
        <v>19986.000000000015</v>
      </c>
      <c r="AD20" s="73">
        <v>52213.99999999997</v>
      </c>
      <c r="AO20">
        <v>19.589158143343912</v>
      </c>
    </row>
    <row r="21" spans="1:41" ht="15">
      <c r="A21" s="5">
        <v>14</v>
      </c>
      <c r="B21" s="6" t="s">
        <v>34</v>
      </c>
      <c r="C21" s="85">
        <v>4</v>
      </c>
      <c r="D21" s="36">
        <f>'Anne-6'!D22+'Anne-7'!F22+'Anne-8'!D22</f>
        <v>8574592</v>
      </c>
      <c r="E21" s="56"/>
      <c r="F21" s="36">
        <f t="shared" si="3"/>
        <v>8574592</v>
      </c>
      <c r="G21" s="84">
        <f>'Anne-6'!G22+'Anne-8'!H22</f>
        <v>10558522</v>
      </c>
      <c r="H21" s="8">
        <f>'Anne-6'!S22+'Anne-7'!I22+'Anne-8'!I22</f>
        <v>7487976</v>
      </c>
      <c r="I21" s="84">
        <f>'Anne-6'!I22+'Anne-8'!M22</f>
        <v>15014575</v>
      </c>
      <c r="J21" s="36"/>
      <c r="K21" s="36"/>
      <c r="L21" s="8">
        <f>'Anne-8'!J22+'Anne-7'!J22</f>
        <v>6474106</v>
      </c>
      <c r="M21" s="84">
        <f>'Anne-6'!N22</f>
        <v>18151446</v>
      </c>
      <c r="N21" s="36">
        <f>'Anne-6'!K22</f>
        <v>1389269</v>
      </c>
      <c r="O21" s="36">
        <f>'Anne-6'!V22</f>
        <v>6072987</v>
      </c>
      <c r="P21" s="36">
        <f>'Anne-6'!W22</f>
        <v>0</v>
      </c>
      <c r="Q21" s="36">
        <f>+'Anne-7'!L22+'Anne-8'!L22</f>
        <v>0</v>
      </c>
      <c r="R21" s="36"/>
      <c r="S21" s="36"/>
      <c r="T21" s="36">
        <f t="shared" si="1"/>
        <v>65148881</v>
      </c>
      <c r="U21" s="36">
        <f t="shared" si="0"/>
        <v>73723473</v>
      </c>
      <c r="V21" s="139">
        <f>D21/U21*100</f>
        <v>11.630748866104016</v>
      </c>
      <c r="W21" s="57">
        <f t="shared" si="4"/>
        <v>0.7589961158909487</v>
      </c>
      <c r="X21" s="59">
        <f t="shared" si="5"/>
        <v>97132.8725621469</v>
      </c>
      <c r="Y21" s="36">
        <f t="shared" si="2"/>
        <v>97132.8725621469</v>
      </c>
      <c r="Z21" s="58">
        <f>'Anne-1'!AC21</f>
        <v>33676.122562146906</v>
      </c>
      <c r="AA21" s="58">
        <f>'Anne-1'!AD21</f>
        <v>63456.75</v>
      </c>
      <c r="AC21" s="73">
        <v>32229.454713109284</v>
      </c>
      <c r="AD21" s="73">
        <v>61292.99999999997</v>
      </c>
      <c r="AO21">
        <v>22.792939248855358</v>
      </c>
    </row>
    <row r="22" spans="1:41" ht="15">
      <c r="A22" s="5">
        <v>15</v>
      </c>
      <c r="B22" s="6" t="s">
        <v>35</v>
      </c>
      <c r="C22" s="85">
        <v>3</v>
      </c>
      <c r="D22" s="36">
        <f>'Anne-6'!D23+'Anne-7'!F23+'Anne-8'!D23</f>
        <v>1610090</v>
      </c>
      <c r="E22" s="56"/>
      <c r="F22" s="36">
        <f t="shared" si="3"/>
        <v>1610090</v>
      </c>
      <c r="G22" s="84">
        <f>'Anne-6'!G23+'Anne-8'!H23</f>
        <v>3035984</v>
      </c>
      <c r="H22" s="36">
        <f>'Anne-6'!S23+'Anne-7'!I23+'Anne-8'!I23</f>
        <v>1019408</v>
      </c>
      <c r="I22" s="36">
        <f>'Anne-6'!I23+'Anne-8'!M23</f>
        <v>1129908</v>
      </c>
      <c r="J22" s="36"/>
      <c r="K22" s="36"/>
      <c r="L22" s="8">
        <f>'Anne-8'!J23+'Anne-7'!J23</f>
        <v>0</v>
      </c>
      <c r="M22" s="36">
        <f>'Anne-6'!N23</f>
        <v>329958</v>
      </c>
      <c r="N22" s="84">
        <f>'Anne-6'!K23</f>
        <v>2338153</v>
      </c>
      <c r="O22" s="36">
        <f>'Anne-6'!V23</f>
        <v>0</v>
      </c>
      <c r="P22" s="36">
        <f>'Anne-6'!W23</f>
        <v>0</v>
      </c>
      <c r="Q22" s="36">
        <f>+'Anne-7'!L23+'Anne-8'!L23</f>
        <v>0</v>
      </c>
      <c r="R22" s="36"/>
      <c r="S22" s="36"/>
      <c r="T22" s="36">
        <f t="shared" si="1"/>
        <v>7853411</v>
      </c>
      <c r="U22" s="36">
        <f t="shared" si="0"/>
        <v>9463501</v>
      </c>
      <c r="V22" s="139">
        <f>D22/U22*100</f>
        <v>17.01368235708962</v>
      </c>
      <c r="W22" s="57">
        <f t="shared" si="4"/>
        <v>0.6945476407449318</v>
      </c>
      <c r="X22" s="59">
        <f>Y22+Y23</f>
        <v>13625.416666666657</v>
      </c>
      <c r="Y22" s="36">
        <f t="shared" si="2"/>
        <v>7486.416004951045</v>
      </c>
      <c r="Z22" s="58">
        <f>'Anne-1'!AC22</f>
        <v>1869.948873578302</v>
      </c>
      <c r="AA22" s="58">
        <f>'Anne-1'!AD22</f>
        <v>5616.467131372742</v>
      </c>
      <c r="AB22" s="92"/>
      <c r="AC22" s="73">
        <v>1760.999999999999</v>
      </c>
      <c r="AD22" s="73">
        <v>5479.999999999996</v>
      </c>
      <c r="AO22">
        <v>16.756790661203468</v>
      </c>
    </row>
    <row r="23" spans="1:41" ht="15" customHeight="1">
      <c r="A23" s="5">
        <v>16</v>
      </c>
      <c r="B23" s="6" t="s">
        <v>36</v>
      </c>
      <c r="C23" s="104"/>
      <c r="D23" s="36"/>
      <c r="E23" s="56"/>
      <c r="F23" s="36"/>
      <c r="G23" s="8"/>
      <c r="H23" s="36"/>
      <c r="I23" s="36"/>
      <c r="J23" s="36"/>
      <c r="K23" s="36"/>
      <c r="L23" s="8"/>
      <c r="M23" s="36"/>
      <c r="N23" s="36"/>
      <c r="O23" s="36"/>
      <c r="P23" s="36"/>
      <c r="Q23" s="36"/>
      <c r="R23" s="36"/>
      <c r="S23" s="36"/>
      <c r="T23" s="36">
        <f t="shared" si="1"/>
        <v>0</v>
      </c>
      <c r="U23" s="36">
        <f t="shared" si="0"/>
        <v>0</v>
      </c>
      <c r="V23" s="139"/>
      <c r="W23" s="57" t="e">
        <f t="shared" si="4"/>
        <v>#DIV/0!</v>
      </c>
      <c r="X23" s="59"/>
      <c r="Y23" s="36">
        <f t="shared" si="2"/>
        <v>6139.000661715613</v>
      </c>
      <c r="Z23" s="58">
        <f>'Anne-1'!AC23</f>
        <v>1494.634459755029</v>
      </c>
      <c r="AA23" s="58">
        <f>'Anne-1'!AD23</f>
        <v>4644.3662019605845</v>
      </c>
      <c r="AC23" s="73">
        <v>1412.000000000001</v>
      </c>
      <c r="AD23" s="73">
        <v>4527</v>
      </c>
      <c r="AO23">
        <v>14.95800929070746</v>
      </c>
    </row>
    <row r="24" spans="1:41" ht="15">
      <c r="A24" s="5">
        <v>17</v>
      </c>
      <c r="B24" s="6" t="s">
        <v>37</v>
      </c>
      <c r="C24" s="85">
        <v>3</v>
      </c>
      <c r="D24" s="36">
        <f>'Anne-6'!D25+'Anne-7'!F25+'Anne-8'!D25</f>
        <v>3658488</v>
      </c>
      <c r="E24" s="56"/>
      <c r="F24" s="36">
        <f t="shared" si="3"/>
        <v>3658488</v>
      </c>
      <c r="G24" s="84">
        <f>'Anne-6'!G25+'Anne-8'!H25</f>
        <v>7616080</v>
      </c>
      <c r="H24" s="8">
        <f>'Anne-6'!S25+'Anne-7'!I25+'Anne-8'!I25</f>
        <v>4246405</v>
      </c>
      <c r="I24" s="36">
        <f>'Anne-6'!I25+'Anne-8'!M25</f>
        <v>3308352</v>
      </c>
      <c r="J24" s="36"/>
      <c r="K24" s="36"/>
      <c r="L24" s="8">
        <f>'Anne-8'!J25+'Anne-7'!J25</f>
        <v>2022563</v>
      </c>
      <c r="M24" s="36">
        <f>'Anne-6'!N25</f>
        <v>1102358</v>
      </c>
      <c r="N24" s="36">
        <f>'Anne-6'!K25</f>
        <v>3558272</v>
      </c>
      <c r="O24" s="36">
        <f>'Anne-6'!V25</f>
        <v>0</v>
      </c>
      <c r="P24" s="36">
        <f>'Anne-6'!W25</f>
        <v>0</v>
      </c>
      <c r="Q24" s="36">
        <f>+'Anne-7'!L25+'Anne-8'!L25</f>
        <v>0</v>
      </c>
      <c r="R24" s="36"/>
      <c r="S24" s="36"/>
      <c r="T24" s="36">
        <f t="shared" si="1"/>
        <v>21854030</v>
      </c>
      <c r="U24" s="36">
        <f t="shared" si="0"/>
        <v>25512518</v>
      </c>
      <c r="V24" s="139">
        <f>D24/U24*100</f>
        <v>14.339972244213605</v>
      </c>
      <c r="W24" s="57">
        <f t="shared" si="4"/>
        <v>0.6108100554646666</v>
      </c>
      <c r="X24" s="59">
        <f t="shared" si="5"/>
        <v>41768.33333333331</v>
      </c>
      <c r="Y24" s="36">
        <f t="shared" si="2"/>
        <v>41768.33333333331</v>
      </c>
      <c r="Z24" s="58">
        <f>'Anne-1'!AC24</f>
        <v>7231.5</v>
      </c>
      <c r="AA24" s="58">
        <f>'Anne-1'!AD24</f>
        <v>34536.83333333331</v>
      </c>
      <c r="AC24" s="73">
        <v>6831.999999999996</v>
      </c>
      <c r="AD24" s="73">
        <v>33918</v>
      </c>
      <c r="AO24">
        <v>21.103988171760818</v>
      </c>
    </row>
    <row r="25" spans="1:41" ht="15">
      <c r="A25" s="5">
        <v>18</v>
      </c>
      <c r="B25" s="6" t="s">
        <v>38</v>
      </c>
      <c r="C25" s="85">
        <v>3</v>
      </c>
      <c r="D25" s="36">
        <f>'Anne-6'!D26+'Anne-7'!F26+'Anne-8'!D26</f>
        <v>5467026</v>
      </c>
      <c r="E25" s="56"/>
      <c r="F25" s="36">
        <f t="shared" si="3"/>
        <v>5467026</v>
      </c>
      <c r="G25" s="84">
        <f>'Anne-6'!G26+'Anne-8'!H26</f>
        <v>7426924</v>
      </c>
      <c r="H25" s="36">
        <f>'Anne-6'!S26+'Anne-7'!I26+'Anne-8'!I26</f>
        <v>2986714</v>
      </c>
      <c r="I25" s="36">
        <f>'Anne-6'!I26+'Anne-8'!M26</f>
        <v>4610130</v>
      </c>
      <c r="J25" s="36"/>
      <c r="K25" s="36"/>
      <c r="L25" s="8">
        <f>'Anne-8'!J26+'Anne-7'!J26</f>
        <v>2481658</v>
      </c>
      <c r="M25" s="84">
        <f>'Anne-6'!N26</f>
        <v>5804185</v>
      </c>
      <c r="N25" s="36">
        <f>'Anne-6'!K26</f>
        <v>866042</v>
      </c>
      <c r="O25" s="36">
        <f>'Anne-6'!V26</f>
        <v>0</v>
      </c>
      <c r="P25" s="36">
        <f>'Anne-6'!W26</f>
        <v>0</v>
      </c>
      <c r="Q25" s="36">
        <f>+'Anne-7'!L26+'Anne-8'!L26</f>
        <v>0</v>
      </c>
      <c r="R25" s="36">
        <f>'Anne-7'!K26+'Anne-8'!K26</f>
        <v>2233789</v>
      </c>
      <c r="S25" s="36"/>
      <c r="T25" s="36">
        <f t="shared" si="1"/>
        <v>26409442</v>
      </c>
      <c r="U25" s="36">
        <f t="shared" si="0"/>
        <v>31876468</v>
      </c>
      <c r="V25" s="139">
        <f>D25/U25*100</f>
        <v>17.15066424548667</v>
      </c>
      <c r="W25" s="57">
        <f t="shared" si="4"/>
        <v>1.0558967835966744</v>
      </c>
      <c r="X25" s="59">
        <f>Y25</f>
        <v>30189</v>
      </c>
      <c r="Y25" s="36">
        <f t="shared" si="2"/>
        <v>30189</v>
      </c>
      <c r="Z25" s="60">
        <f>'Anne-1'!AC25</f>
        <v>12604</v>
      </c>
      <c r="AA25" s="60">
        <f>'Anne-1'!AD25</f>
        <v>17585</v>
      </c>
      <c r="AC25" s="73">
        <v>11972.999999999993</v>
      </c>
      <c r="AD25" s="73">
        <v>17143</v>
      </c>
      <c r="AO25">
        <v>15.008714246162974</v>
      </c>
    </row>
    <row r="26" spans="1:41" ht="15">
      <c r="A26" s="5">
        <v>19</v>
      </c>
      <c r="B26" s="6" t="s">
        <v>39</v>
      </c>
      <c r="C26" s="85">
        <v>3</v>
      </c>
      <c r="D26" s="36">
        <f>'Anne-6'!D27+'Anne-7'!F27+'Anne-8'!D27</f>
        <v>6821715</v>
      </c>
      <c r="E26" s="56"/>
      <c r="F26" s="36">
        <f t="shared" si="3"/>
        <v>6821715</v>
      </c>
      <c r="G26" s="84">
        <f>'Anne-6'!G27+'Anne-8'!H27</f>
        <v>15600182</v>
      </c>
      <c r="H26" s="8">
        <f>'Anne-6'!S27+'Anne-7'!I27+'Anne-8'!I27</f>
        <v>5959950</v>
      </c>
      <c r="I26" s="84">
        <f>'Anne-6'!I27+'Anne-8'!M27</f>
        <v>9606680</v>
      </c>
      <c r="J26" s="36">
        <f>G26-D26</f>
        <v>8778467</v>
      </c>
      <c r="K26" s="105">
        <f>J26/D26</f>
        <v>1.2868416519892725</v>
      </c>
      <c r="L26" s="8">
        <f>'Anne-8'!J27+'Anne-7'!J27</f>
        <v>2161978</v>
      </c>
      <c r="M26" s="36">
        <f>'Anne-6'!N27</f>
        <v>5740348</v>
      </c>
      <c r="N26" s="36">
        <f>'Anne-6'!K27</f>
        <v>4310006</v>
      </c>
      <c r="O26" s="36">
        <f>'Anne-6'!V27</f>
        <v>0</v>
      </c>
      <c r="P26" s="36">
        <f>'Anne-6'!W27</f>
        <v>0</v>
      </c>
      <c r="Q26" s="36">
        <f>+'Anne-7'!L27+'Anne-8'!L27</f>
        <v>2309258</v>
      </c>
      <c r="R26" s="36"/>
      <c r="S26" s="36"/>
      <c r="T26" s="36">
        <f t="shared" si="1"/>
        <v>45688402</v>
      </c>
      <c r="U26" s="36">
        <f t="shared" si="0"/>
        <v>52510117</v>
      </c>
      <c r="V26" s="139">
        <f>D26/U26*100</f>
        <v>12.991239383450623</v>
      </c>
      <c r="W26" s="57">
        <f t="shared" si="4"/>
        <v>0.7407972546405533</v>
      </c>
      <c r="X26" s="59">
        <f t="shared" si="5"/>
        <v>70883.25</v>
      </c>
      <c r="Y26" s="36">
        <f t="shared" si="2"/>
        <v>70883.25</v>
      </c>
      <c r="Z26" s="58">
        <f>'Anne-1'!AC26</f>
        <v>17053.25</v>
      </c>
      <c r="AA26" s="58">
        <f>'Anne-1'!AD26</f>
        <v>53830</v>
      </c>
      <c r="AC26" s="73">
        <v>16214.999999999993</v>
      </c>
      <c r="AD26" s="73">
        <v>51615.00000000003</v>
      </c>
      <c r="AF26" s="83"/>
      <c r="AO26">
        <v>12.587224104140947</v>
      </c>
    </row>
    <row r="27" spans="1:41" ht="15">
      <c r="A27" s="5">
        <v>20</v>
      </c>
      <c r="B27" s="6" t="s">
        <v>40</v>
      </c>
      <c r="C27" s="85">
        <v>4</v>
      </c>
      <c r="D27" s="36">
        <f>'Anne-6'!D28+'Anne-7'!F28+'Anne-8'!D28</f>
        <v>9767947</v>
      </c>
      <c r="E27" s="56"/>
      <c r="F27" s="36">
        <f t="shared" si="3"/>
        <v>9767947</v>
      </c>
      <c r="G27" s="84">
        <f>'Anne-6'!G28+'Anne-8'!H28</f>
        <v>10471853</v>
      </c>
      <c r="H27" s="36">
        <f>'Anne-6'!S28+'Anne-7'!I28+'Anne-8'!I28</f>
        <v>6253570</v>
      </c>
      <c r="I27" s="84">
        <f>'Anne-6'!I28+'Anne-8'!M28</f>
        <v>10734143</v>
      </c>
      <c r="J27" s="36"/>
      <c r="K27" s="36"/>
      <c r="L27" s="8">
        <f>'Anne-8'!J28+'Anne-7'!J28</f>
        <v>4018115</v>
      </c>
      <c r="M27" s="36">
        <f>'Anne-6'!N28</f>
        <v>2633971</v>
      </c>
      <c r="N27" s="84">
        <f>'Anne-6'!K28</f>
        <v>18180215</v>
      </c>
      <c r="O27" s="36">
        <f>'Anne-6'!V28</f>
        <v>0</v>
      </c>
      <c r="P27" s="36">
        <f>'Anne-6'!W28</f>
        <v>0</v>
      </c>
      <c r="Q27" s="36">
        <f>+'Anne-7'!L28+'Anne-8'!L28</f>
        <v>1069983</v>
      </c>
      <c r="R27" s="36"/>
      <c r="S27" s="36"/>
      <c r="T27" s="36">
        <f t="shared" si="1"/>
        <v>53361850</v>
      </c>
      <c r="U27" s="36">
        <f t="shared" si="0"/>
        <v>63129797</v>
      </c>
      <c r="V27" s="139">
        <f>D27/U27*100</f>
        <v>15.472799635329098</v>
      </c>
      <c r="W27" s="57">
        <f t="shared" si="4"/>
        <v>1.0697636174281275</v>
      </c>
      <c r="X27" s="59">
        <f t="shared" si="5"/>
        <v>59012.84729777361</v>
      </c>
      <c r="Y27" s="36">
        <f t="shared" si="2"/>
        <v>59012.84729777361</v>
      </c>
      <c r="Z27" s="58">
        <f>'Anne-1'!AC27</f>
        <v>28434.263964440266</v>
      </c>
      <c r="AA27" s="58">
        <f>'Anne-1'!AD27</f>
        <v>30578.583333333347</v>
      </c>
      <c r="AC27" s="73">
        <v>28884.322622685115</v>
      </c>
      <c r="AD27" s="73">
        <v>31167.000000000015</v>
      </c>
      <c r="AE27">
        <f>Z27/Z34*AC34</f>
        <v>27105.860250140795</v>
      </c>
      <c r="AG27" s="83">
        <f>AC27-AE27</f>
        <v>1778.4623725443198</v>
      </c>
      <c r="AJ27">
        <v>26706.5786431153</v>
      </c>
      <c r="AL27">
        <v>2177.7439795698156</v>
      </c>
      <c r="AO27">
        <v>17.403789555135774</v>
      </c>
    </row>
    <row r="28" spans="1:41" ht="15" customHeight="1">
      <c r="A28" s="5">
        <v>21</v>
      </c>
      <c r="B28" s="6" t="s">
        <v>41</v>
      </c>
      <c r="C28" s="104"/>
      <c r="D28" s="36"/>
      <c r="E28" s="56"/>
      <c r="F28" s="36"/>
      <c r="G28" s="8"/>
      <c r="H28" s="36"/>
      <c r="I28" s="36"/>
      <c r="J28" s="36"/>
      <c r="K28" s="36"/>
      <c r="L28" s="8"/>
      <c r="M28" s="36"/>
      <c r="N28" s="36"/>
      <c r="O28" s="36"/>
      <c r="P28" s="36"/>
      <c r="Q28" s="36"/>
      <c r="R28" s="36"/>
      <c r="S28" s="36"/>
      <c r="T28" s="36">
        <f t="shared" si="1"/>
        <v>0</v>
      </c>
      <c r="U28" s="36">
        <f t="shared" si="0"/>
        <v>0</v>
      </c>
      <c r="V28" s="139"/>
      <c r="W28" s="57" t="e">
        <f t="shared" si="4"/>
        <v>#DIV/0!</v>
      </c>
      <c r="X28" s="59"/>
      <c r="Y28" s="36">
        <f t="shared" si="2"/>
        <v>10524.621848826888</v>
      </c>
      <c r="Z28" s="58">
        <f>'Anne-1'!AC28</f>
        <v>2998.772988313111</v>
      </c>
      <c r="AA28" s="58">
        <f>'Anne-1'!AD28</f>
        <v>7525.848860513776</v>
      </c>
      <c r="AC28" s="73">
        <v>2819.999999999998</v>
      </c>
      <c r="AD28" s="73">
        <v>7123</v>
      </c>
      <c r="AO28">
        <v>17.777692701541735</v>
      </c>
    </row>
    <row r="29" spans="1:41" ht="15">
      <c r="A29" s="5">
        <v>22</v>
      </c>
      <c r="B29" s="6" t="s">
        <v>42</v>
      </c>
      <c r="C29" s="85">
        <v>3</v>
      </c>
      <c r="D29" s="36">
        <f>'Anne-6'!D30+'Anne-7'!F30+'Anne-8'!D30</f>
        <v>11078150</v>
      </c>
      <c r="E29" s="56"/>
      <c r="F29" s="36">
        <f t="shared" si="3"/>
        <v>11078150</v>
      </c>
      <c r="G29" s="84">
        <f>'Anne-6'!G30+'Anne-8'!H30</f>
        <v>16262335</v>
      </c>
      <c r="H29" s="8">
        <f>'Anne-6'!S30+'Anne-7'!I30+'Anne-8'!I30</f>
        <v>8698664</v>
      </c>
      <c r="I29" s="84">
        <f>'Anne-6'!I30+'Anne-8'!M30</f>
        <v>15167774</v>
      </c>
      <c r="J29" s="36"/>
      <c r="K29" s="36"/>
      <c r="L29" s="8">
        <f>'Anne-8'!J30+'Anne-7'!J30</f>
        <v>4204763</v>
      </c>
      <c r="M29" s="36">
        <f>'Anne-6'!N30</f>
        <v>7687655</v>
      </c>
      <c r="N29" s="36">
        <f>'Anne-6'!K30</f>
        <v>5160078</v>
      </c>
      <c r="O29" s="36">
        <f>'Anne-6'!V30</f>
        <v>7964835</v>
      </c>
      <c r="P29" s="36">
        <f>'Anne-6'!W30</f>
        <v>0</v>
      </c>
      <c r="Q29" s="36">
        <f>+'Anne-7'!L30+'Anne-8'!L30</f>
        <v>0</v>
      </c>
      <c r="R29" s="36"/>
      <c r="S29" s="36"/>
      <c r="T29" s="36">
        <f t="shared" si="1"/>
        <v>65146104</v>
      </c>
      <c r="U29" s="36">
        <f t="shared" si="0"/>
        <v>76224254</v>
      </c>
      <c r="V29" s="139">
        <f aca="true" t="shared" si="6" ref="V29:V37">D29/U29*100</f>
        <v>14.53362862691972</v>
      </c>
      <c r="W29" s="57">
        <f t="shared" si="4"/>
        <v>0.5272477426664661</v>
      </c>
      <c r="X29" s="59">
        <f t="shared" si="5"/>
        <v>144570.09074047193</v>
      </c>
      <c r="Y29" s="36">
        <f t="shared" si="2"/>
        <v>144570.09074047193</v>
      </c>
      <c r="Z29" s="60">
        <f>'Anne-1'!AC29</f>
        <v>24919.09678584069</v>
      </c>
      <c r="AA29" s="60">
        <f>'Anne-1'!AD29</f>
        <v>119650.99395463125</v>
      </c>
      <c r="AB29" s="24"/>
      <c r="AC29" s="73">
        <v>44060.00000000003</v>
      </c>
      <c r="AD29" s="73">
        <v>156704</v>
      </c>
      <c r="AE29" s="73">
        <f>Z29/(Z29+Z30)*AC29</f>
        <v>23369.33057447205</v>
      </c>
      <c r="AF29">
        <f>AA29/(AA29+AA30)*AD29</f>
        <v>114487.74235394526</v>
      </c>
      <c r="AJ29">
        <v>23369.330574472053</v>
      </c>
      <c r="AK29">
        <v>114487.74235394527</v>
      </c>
      <c r="AO29">
        <v>17.342870722304156</v>
      </c>
    </row>
    <row r="30" spans="1:41" ht="15">
      <c r="A30" s="5">
        <v>23</v>
      </c>
      <c r="B30" s="6" t="s">
        <v>43</v>
      </c>
      <c r="C30" s="85">
        <v>6</v>
      </c>
      <c r="D30" s="36">
        <f>'Anne-6'!D31+'Anne-7'!F31+'Anne-8'!D31</f>
        <v>4902724</v>
      </c>
      <c r="E30" s="56"/>
      <c r="F30" s="36">
        <f t="shared" si="3"/>
        <v>4902724</v>
      </c>
      <c r="G30" s="84">
        <f>'Anne-6'!G31+'Anne-8'!H31</f>
        <v>6811005</v>
      </c>
      <c r="H30" s="84">
        <f>'Anne-6'!S31+'Anne-7'!I31+'Anne-8'!I31</f>
        <v>5946270</v>
      </c>
      <c r="I30" s="84">
        <f>'Anne-6'!I31+'Anne-8'!M31</f>
        <v>9650406</v>
      </c>
      <c r="J30" s="36"/>
      <c r="K30" s="36"/>
      <c r="L30" s="8">
        <f>'Anne-8'!J31+'Anne-7'!J31</f>
        <v>3625024</v>
      </c>
      <c r="M30" s="84">
        <f>'Anne-6'!N31</f>
        <v>11325435</v>
      </c>
      <c r="N30" s="36">
        <f>'Anne-6'!K31</f>
        <v>109150</v>
      </c>
      <c r="O30" s="36">
        <f>'Anne-6'!V31</f>
        <v>5585433</v>
      </c>
      <c r="P30" s="36">
        <f>'Anne-6'!W31</f>
        <v>0</v>
      </c>
      <c r="Q30" s="36">
        <f>+'Anne-7'!L31+'Anne-8'!L31</f>
        <v>262251</v>
      </c>
      <c r="R30" s="36"/>
      <c r="S30" s="36"/>
      <c r="T30" s="36">
        <f t="shared" si="1"/>
        <v>43314974</v>
      </c>
      <c r="U30" s="36">
        <f t="shared" si="0"/>
        <v>48217698</v>
      </c>
      <c r="V30" s="139">
        <f t="shared" si="6"/>
        <v>10.167893125051304</v>
      </c>
      <c r="W30" s="57">
        <f t="shared" si="4"/>
        <v>0.6285910800569858</v>
      </c>
      <c r="X30" s="59">
        <f>Y30+Y28</f>
        <v>76707.57592619474</v>
      </c>
      <c r="Y30" s="36">
        <f>Z30+AA30</f>
        <v>66182.95407736785</v>
      </c>
      <c r="Z30" s="60">
        <f>'Anne-1'!AC30</f>
        <v>22062.79689251282</v>
      </c>
      <c r="AA30" s="60">
        <f>'Anne-1'!AD30</f>
        <v>44120.15718485502</v>
      </c>
      <c r="AB30" s="73"/>
      <c r="AC30" s="73">
        <v>10554.608454484804</v>
      </c>
      <c r="AD30" s="73">
        <v>64539.00000000003</v>
      </c>
      <c r="AE30" s="83">
        <f>AC29-AE29</f>
        <v>20690.66942552798</v>
      </c>
      <c r="AF30" s="73">
        <f>AD29-AF29</f>
        <v>42216.25764605474</v>
      </c>
      <c r="AG30" s="73"/>
      <c r="AJ30">
        <v>20690.669425527976</v>
      </c>
      <c r="AK30">
        <v>42216.25764605473</v>
      </c>
      <c r="AO30">
        <v>0</v>
      </c>
    </row>
    <row r="31" spans="1:41" ht="15">
      <c r="A31" s="5">
        <v>24</v>
      </c>
      <c r="B31" s="6" t="s">
        <v>44</v>
      </c>
      <c r="C31" s="85">
        <v>6</v>
      </c>
      <c r="D31" s="36">
        <f>'Anne-6'!D32+'Anne-7'!F32+'Anne-8'!D32</f>
        <v>2569861</v>
      </c>
      <c r="E31" s="56"/>
      <c r="F31" s="36">
        <f t="shared" si="3"/>
        <v>2569861</v>
      </c>
      <c r="G31" s="84">
        <f>'Anne-6'!G32+'Anne-8'!H32</f>
        <v>10106257</v>
      </c>
      <c r="H31" s="84">
        <f>'Anne-6'!S32+'Anne-7'!I32+'Anne-8'!I32</f>
        <v>7317300</v>
      </c>
      <c r="I31" s="84">
        <f>'Anne-6'!I32+'Anne-8'!M32</f>
        <v>12475210</v>
      </c>
      <c r="J31" s="36">
        <f>I31-D31</f>
        <v>9905349</v>
      </c>
      <c r="K31" s="105">
        <f>J31/D31</f>
        <v>3.8544298699423822</v>
      </c>
      <c r="L31" s="8">
        <f>'Anne-8'!J32+'Anne-7'!J32</f>
        <v>1234477</v>
      </c>
      <c r="M31" s="36">
        <f>'Anne-6'!N32</f>
        <v>2817511</v>
      </c>
      <c r="N31" s="36">
        <f>'Anne-6'!K32</f>
        <v>3439593</v>
      </c>
      <c r="O31" s="36">
        <f>'Anne-6'!V32</f>
        <v>0</v>
      </c>
      <c r="P31" s="36">
        <f>'Anne-6'!W32</f>
        <v>0</v>
      </c>
      <c r="Q31" s="36">
        <f>+'Anne-7'!L32+'Anne-8'!L32</f>
        <v>1735327</v>
      </c>
      <c r="R31" s="36"/>
      <c r="S31" s="36"/>
      <c r="T31" s="36">
        <f t="shared" si="1"/>
        <v>39125675</v>
      </c>
      <c r="U31" s="36">
        <f t="shared" si="0"/>
        <v>41695536</v>
      </c>
      <c r="V31" s="139">
        <f t="shared" si="6"/>
        <v>6.1633960047905365</v>
      </c>
      <c r="W31" s="57">
        <f t="shared" si="4"/>
        <v>0.5369405342127032</v>
      </c>
      <c r="X31" s="59">
        <f>Y31+Y8</f>
        <v>77653.91760027334</v>
      </c>
      <c r="Y31" s="36">
        <f t="shared" si="2"/>
        <v>77167.07932124315</v>
      </c>
      <c r="Z31" s="58">
        <f>'Anne-1'!AC31</f>
        <v>10798.37104022032</v>
      </c>
      <c r="AA31" s="58">
        <f>'Anne-1'!AD31</f>
        <v>66368.70828102283</v>
      </c>
      <c r="AC31" s="73">
        <v>15017.39154551519</v>
      </c>
      <c r="AD31" s="73">
        <v>0</v>
      </c>
      <c r="AO31">
        <v>0</v>
      </c>
    </row>
    <row r="32" spans="1:41" ht="15">
      <c r="A32" s="5">
        <v>25</v>
      </c>
      <c r="B32" s="6" t="s">
        <v>45</v>
      </c>
      <c r="C32" s="85">
        <v>4</v>
      </c>
      <c r="D32" s="36">
        <f>'Anne-6'!D33+'Anne-7'!F33+'Anne-8'!D33</f>
        <v>1722474</v>
      </c>
      <c r="E32" s="56"/>
      <c r="F32" s="36">
        <f t="shared" si="3"/>
        <v>1722474</v>
      </c>
      <c r="G32" s="84">
        <f>'Anne-6'!G33+'Anne-8'!H33</f>
        <v>3946982</v>
      </c>
      <c r="H32" s="84">
        <f>'Anne-6'!S33+'Anne-7'!I33+'Anne-8'!I33</f>
        <v>3945441</v>
      </c>
      <c r="I32" s="84">
        <f>'Anne-6'!I33+'Anne-8'!M33</f>
        <v>4529015</v>
      </c>
      <c r="J32" s="36"/>
      <c r="K32" s="36"/>
      <c r="L32" s="8">
        <f>'Anne-8'!J33+'Anne-7'!J33</f>
        <v>2915349</v>
      </c>
      <c r="M32" s="36">
        <f>'Anne-6'!N33</f>
        <v>1280909</v>
      </c>
      <c r="N32" s="36">
        <f>'Anne-6'!K33</f>
        <v>2804989</v>
      </c>
      <c r="O32" s="36">
        <f>'Anne-6'!V33</f>
        <v>0</v>
      </c>
      <c r="P32" s="36">
        <f>'Anne-6'!W33</f>
        <v>0</v>
      </c>
      <c r="Q32" s="36">
        <f>+'Anne-7'!L33+'Anne-8'!L33</f>
        <v>707942</v>
      </c>
      <c r="R32" s="36"/>
      <c r="S32" s="36"/>
      <c r="T32" s="36">
        <f t="shared" si="1"/>
        <v>20130627</v>
      </c>
      <c r="U32" s="36">
        <f t="shared" si="0"/>
        <v>21853101</v>
      </c>
      <c r="V32" s="139">
        <f t="shared" si="6"/>
        <v>7.882057562448459</v>
      </c>
      <c r="W32" s="57">
        <f t="shared" si="4"/>
        <v>1.4223368095446496</v>
      </c>
      <c r="X32" s="59">
        <f t="shared" si="5"/>
        <v>15364.223757237996</v>
      </c>
      <c r="Y32" s="36">
        <f t="shared" si="2"/>
        <v>15364.223757237996</v>
      </c>
      <c r="Z32" s="58">
        <f>'Anne-1'!AC32</f>
        <v>15364.223757237996</v>
      </c>
      <c r="AA32" s="58">
        <f>'Anne-1'!AD32</f>
        <v>0</v>
      </c>
      <c r="AC32" s="73">
        <v>8783.677377314893</v>
      </c>
      <c r="AD32" s="73">
        <v>0</v>
      </c>
      <c r="AG32" s="83">
        <f>AC32+AG27</f>
        <v>10562.139749859212</v>
      </c>
      <c r="AL32">
        <v>10961.421356884708</v>
      </c>
      <c r="AO32">
        <v>15.656343252003001</v>
      </c>
    </row>
    <row r="33" spans="1:30" ht="15">
      <c r="A33" s="5">
        <v>26</v>
      </c>
      <c r="B33" s="6" t="s">
        <v>46</v>
      </c>
      <c r="C33" s="85">
        <v>3</v>
      </c>
      <c r="D33" s="36">
        <f>'Anne-6'!D34+'Anne-7'!F34+'Anne-8'!D34</f>
        <v>2215465</v>
      </c>
      <c r="E33" s="56"/>
      <c r="F33" s="36">
        <f t="shared" si="3"/>
        <v>2215465</v>
      </c>
      <c r="G33" s="84">
        <f>'Anne-6'!G34+'Anne-8'!H34</f>
        <v>4284508</v>
      </c>
      <c r="H33" s="36">
        <f>'Anne-6'!S34+'Anne-7'!I34+'Anne-8'!I34</f>
        <v>0</v>
      </c>
      <c r="I33" s="36">
        <f>'Anne-6'!I34+'Anne-8'!M34</f>
        <v>2201316</v>
      </c>
      <c r="J33" s="36">
        <f>G33-D33</f>
        <v>2069043</v>
      </c>
      <c r="K33" s="105">
        <f>J33/D33</f>
        <v>0.9339091341998181</v>
      </c>
      <c r="L33" s="8">
        <f>'Anne-8'!J34+'Anne-7'!J34</f>
        <v>1509734</v>
      </c>
      <c r="M33" s="36">
        <f>'Anne-6'!N34</f>
        <v>0</v>
      </c>
      <c r="N33" s="84">
        <f>'Anne-6'!K34</f>
        <v>4252526</v>
      </c>
      <c r="O33" s="36">
        <f>'Anne-6'!V34</f>
        <v>0</v>
      </c>
      <c r="P33" s="36">
        <f>'Anne-6'!W34</f>
        <v>0</v>
      </c>
      <c r="Q33" s="36">
        <f>+'Anne-7'!L34+'Anne-8'!L34</f>
        <v>0</v>
      </c>
      <c r="R33" s="36"/>
      <c r="S33" s="36"/>
      <c r="T33" s="36">
        <f t="shared" si="1"/>
        <v>12248084</v>
      </c>
      <c r="U33" s="36">
        <f t="shared" si="0"/>
        <v>14463549</v>
      </c>
      <c r="V33" s="139">
        <f t="shared" si="6"/>
        <v>15.317575236893793</v>
      </c>
      <c r="W33" s="57">
        <f t="shared" si="4"/>
        <v>1.2940909225278268</v>
      </c>
      <c r="X33" s="59">
        <f t="shared" si="5"/>
        <v>11176.609578365225</v>
      </c>
      <c r="Y33" s="36">
        <f t="shared" si="2"/>
        <v>11176.609578365225</v>
      </c>
      <c r="Z33" s="58">
        <f>'Anne-1'!AC33</f>
        <v>11176.609578365225</v>
      </c>
      <c r="AA33" s="61">
        <f>'Anne-1'!AD33</f>
        <v>0</v>
      </c>
      <c r="AC33" s="73"/>
      <c r="AD33" s="73"/>
    </row>
    <row r="34" spans="1:33" ht="15">
      <c r="A34" s="5"/>
      <c r="B34" s="7" t="s">
        <v>47</v>
      </c>
      <c r="C34" s="45">
        <v>4</v>
      </c>
      <c r="D34" s="8">
        <f aca="true" t="shared" si="7" ref="D34:U34">SUM(D8:D33)</f>
        <v>113471442</v>
      </c>
      <c r="E34" s="8">
        <f t="shared" si="7"/>
        <v>0</v>
      </c>
      <c r="F34" s="8">
        <f t="shared" si="7"/>
        <v>113471442</v>
      </c>
      <c r="G34" s="8">
        <f t="shared" si="7"/>
        <v>188252914</v>
      </c>
      <c r="H34" s="8">
        <f t="shared" si="7"/>
        <v>104497570</v>
      </c>
      <c r="I34" s="8">
        <f t="shared" si="7"/>
        <v>145990673</v>
      </c>
      <c r="J34" s="8">
        <f t="shared" si="7"/>
        <v>74020650</v>
      </c>
      <c r="K34" s="8">
        <f t="shared" si="7"/>
        <v>15.973638771975764</v>
      </c>
      <c r="L34" s="8">
        <f t="shared" si="7"/>
        <v>57719816</v>
      </c>
      <c r="M34" s="8">
        <f t="shared" si="7"/>
        <v>121485711</v>
      </c>
      <c r="N34" s="8">
        <f t="shared" si="7"/>
        <v>62736503</v>
      </c>
      <c r="O34" s="8">
        <f t="shared" si="7"/>
        <v>33916364</v>
      </c>
      <c r="P34" s="8">
        <f t="shared" si="7"/>
        <v>4233154</v>
      </c>
      <c r="Q34" s="36">
        <f>SUM(Q8:Q33)</f>
        <v>8572625</v>
      </c>
      <c r="R34" s="36">
        <f t="shared" si="7"/>
        <v>2233789</v>
      </c>
      <c r="S34" s="36"/>
      <c r="T34" s="36">
        <f t="shared" si="1"/>
        <v>729639119</v>
      </c>
      <c r="U34" s="36">
        <f t="shared" si="7"/>
        <v>843110561</v>
      </c>
      <c r="V34" s="139">
        <f t="shared" si="6"/>
        <v>13.458666899559807</v>
      </c>
      <c r="W34" s="91">
        <f t="shared" si="4"/>
        <v>0.7051058536951355</v>
      </c>
      <c r="X34" s="36">
        <f>SUM(X8:X33)</f>
        <v>1195721.9707957967</v>
      </c>
      <c r="Y34" s="36">
        <f>SUM(Y8:Y33)</f>
        <v>1195721.9707957967</v>
      </c>
      <c r="Z34" s="62">
        <f>'Anne-1'!AC34</f>
        <v>335088.2461049524</v>
      </c>
      <c r="AA34" s="62">
        <f>'Anne-1'!AD34</f>
        <v>860633.416666666</v>
      </c>
      <c r="AC34" s="62">
        <f>SUM(AC8:AC33)</f>
        <v>319433.4547131093</v>
      </c>
      <c r="AD34" s="62">
        <f>SUM(AD8:AD33)</f>
        <v>833716.9999999999</v>
      </c>
      <c r="AG34" s="83"/>
    </row>
    <row r="35" spans="1:30" ht="14.25">
      <c r="A35" s="4">
        <v>27</v>
      </c>
      <c r="B35" s="3" t="s">
        <v>48</v>
      </c>
      <c r="C35" s="3"/>
      <c r="D35" s="56"/>
      <c r="E35" s="96">
        <f>'Anne-6'!E36+'Anne-7'!G36+'Anne-8'!E36</f>
        <v>4051587</v>
      </c>
      <c r="F35" s="36">
        <f t="shared" si="3"/>
        <v>4051587</v>
      </c>
      <c r="G35" s="8">
        <f>'Anne-6'!G36+'Anne-8'!H36</f>
        <v>11218561</v>
      </c>
      <c r="H35" s="36">
        <f>'Anne-6'!S36+'Anne-7'!I36+'Anne-8'!I36</f>
        <v>8063723</v>
      </c>
      <c r="I35" s="36">
        <f>'Anne-6'!I36+'Anne-8'!M36</f>
        <v>9121532</v>
      </c>
      <c r="J35" s="36"/>
      <c r="K35" s="36"/>
      <c r="L35" s="8">
        <f>'Anne-8'!J36+'Anne-7'!J36</f>
        <v>2995295</v>
      </c>
      <c r="M35" s="36">
        <f>'Anne-6'!N36</f>
        <v>5376543</v>
      </c>
      <c r="N35" s="36">
        <f>'Anne-6'!K36</f>
        <v>3778488</v>
      </c>
      <c r="O35" s="36">
        <f>'Anne-6'!V36</f>
        <v>0</v>
      </c>
      <c r="P35" s="36">
        <f>'Anne-6'!W36</f>
        <v>0</v>
      </c>
      <c r="Q35" s="36">
        <f>+'Anne-7'!L36+'Anne-8'!L36</f>
        <v>934013</v>
      </c>
      <c r="R35" s="36"/>
      <c r="S35" s="36"/>
      <c r="T35" s="36">
        <f t="shared" si="1"/>
        <v>41488155</v>
      </c>
      <c r="U35" s="36">
        <f>F35+T35</f>
        <v>45539742</v>
      </c>
      <c r="V35" s="139">
        <f t="shared" si="6"/>
        <v>0</v>
      </c>
      <c r="W35" s="57">
        <f t="shared" si="4"/>
        <v>2.2718659355369786</v>
      </c>
      <c r="X35" s="59">
        <f t="shared" si="5"/>
        <v>20045.08333333332</v>
      </c>
      <c r="Y35" s="36">
        <f t="shared" si="2"/>
        <v>20045.08333333332</v>
      </c>
      <c r="Z35" s="63">
        <f>'Anne-1'!AC35</f>
        <v>19233.166666666653</v>
      </c>
      <c r="AA35" s="63">
        <f>'Anne-1'!AD35</f>
        <v>811.9166666666671</v>
      </c>
      <c r="AC35" s="73">
        <v>17607.999999999985</v>
      </c>
      <c r="AD35" s="73">
        <v>842.9999999999995</v>
      </c>
    </row>
    <row r="36" spans="1:30" ht="14.25">
      <c r="A36" s="4">
        <v>28</v>
      </c>
      <c r="B36" s="3" t="s">
        <v>49</v>
      </c>
      <c r="C36" s="3"/>
      <c r="D36" s="56"/>
      <c r="E36" s="96">
        <f>'Anne-6'!E37+'Anne-7'!G37+'Anne-8'!E37</f>
        <v>2981596</v>
      </c>
      <c r="F36" s="36">
        <f t="shared" si="3"/>
        <v>2981596</v>
      </c>
      <c r="G36" s="8">
        <f>'Anne-6'!G37+'Anne-8'!H37</f>
        <v>4723567</v>
      </c>
      <c r="H36" s="36">
        <f>'Anne-6'!S37+'Anne-7'!I37+'Anne-8'!I37</f>
        <v>6326649</v>
      </c>
      <c r="I36" s="36">
        <f>'Anne-6'!I37+'Anne-8'!M37</f>
        <v>7120791</v>
      </c>
      <c r="J36" s="36"/>
      <c r="K36" s="36"/>
      <c r="L36" s="8">
        <f>'Anne-8'!J37+'Anne-7'!J37</f>
        <v>3987842</v>
      </c>
      <c r="M36" s="36">
        <f>'Anne-6'!N37</f>
        <v>3355450</v>
      </c>
      <c r="N36" s="36">
        <f>'Anne-6'!K37</f>
        <v>1929080</v>
      </c>
      <c r="O36" s="36">
        <f>'Anne-6'!V37</f>
        <v>0</v>
      </c>
      <c r="P36" s="36">
        <f>'Anne-6'!W37</f>
        <v>0</v>
      </c>
      <c r="Q36" s="36">
        <f>+'Anne-7'!L37+'Anne-8'!L37</f>
        <v>0</v>
      </c>
      <c r="R36" s="36"/>
      <c r="S36" s="36">
        <f>'Anne-6'!X37</f>
        <v>2979460</v>
      </c>
      <c r="T36" s="36">
        <f>G36+H36+L36+I36+M36+N36+S36+R36+Q36+O36+P36</f>
        <v>30422839</v>
      </c>
      <c r="U36" s="36">
        <f>F36+T36</f>
        <v>33404435</v>
      </c>
      <c r="V36" s="139">
        <f t="shared" si="6"/>
        <v>0</v>
      </c>
      <c r="W36" s="57">
        <f t="shared" si="4"/>
        <v>1.5293056098053746</v>
      </c>
      <c r="X36" s="59">
        <f t="shared" si="5"/>
        <v>21842.877437853105</v>
      </c>
      <c r="Y36" s="36">
        <f>Z36+AA36</f>
        <v>21842.877437853105</v>
      </c>
      <c r="Z36" s="63">
        <f>'Anne-1'!AC36</f>
        <v>21842.877437853105</v>
      </c>
      <c r="AA36" s="63">
        <f>'Anne-1'!AD36</f>
        <v>0</v>
      </c>
      <c r="AC36" s="73">
        <v>20904.545286890716</v>
      </c>
      <c r="AD36" s="73">
        <v>0</v>
      </c>
    </row>
    <row r="37" spans="1:31" ht="15">
      <c r="A37" s="4"/>
      <c r="B37" s="3" t="s">
        <v>50</v>
      </c>
      <c r="C37" s="75">
        <v>5</v>
      </c>
      <c r="D37" s="36">
        <f aca="true" t="shared" si="8" ref="D37:U37">SUM(D34:D36)</f>
        <v>113471442</v>
      </c>
      <c r="E37" s="36">
        <f t="shared" si="8"/>
        <v>7033183</v>
      </c>
      <c r="F37" s="36">
        <f t="shared" si="8"/>
        <v>120504625</v>
      </c>
      <c r="G37" s="36">
        <f t="shared" si="8"/>
        <v>204195042</v>
      </c>
      <c r="H37" s="36">
        <f t="shared" si="8"/>
        <v>118887942</v>
      </c>
      <c r="I37" s="36">
        <f t="shared" si="8"/>
        <v>162232996</v>
      </c>
      <c r="J37" s="36">
        <f t="shared" si="8"/>
        <v>74020650</v>
      </c>
      <c r="K37" s="36">
        <f t="shared" si="8"/>
        <v>15.973638771975764</v>
      </c>
      <c r="L37" s="36">
        <f t="shared" si="8"/>
        <v>64702953</v>
      </c>
      <c r="M37" s="36">
        <f t="shared" si="8"/>
        <v>130217704</v>
      </c>
      <c r="N37" s="36">
        <f t="shared" si="8"/>
        <v>68444071</v>
      </c>
      <c r="O37" s="36">
        <f t="shared" si="8"/>
        <v>33916364</v>
      </c>
      <c r="P37" s="36">
        <f t="shared" si="8"/>
        <v>4233154</v>
      </c>
      <c r="Q37" s="8">
        <f>SUM(Q34:Q36)</f>
        <v>9506638</v>
      </c>
      <c r="R37" s="8">
        <f t="shared" si="8"/>
        <v>2233789</v>
      </c>
      <c r="S37" s="8">
        <f>SUM(S34:S36)</f>
        <v>2979460</v>
      </c>
      <c r="T37" s="36">
        <f t="shared" si="1"/>
        <v>801550113</v>
      </c>
      <c r="U37" s="36">
        <f t="shared" si="8"/>
        <v>922054738</v>
      </c>
      <c r="V37" s="147">
        <f t="shared" si="6"/>
        <v>12.306367216997046</v>
      </c>
      <c r="W37" s="57">
        <f t="shared" si="4"/>
        <v>0.7450285542170407</v>
      </c>
      <c r="X37" s="36">
        <f>SUM(X34:X36)</f>
        <v>1237609.931566983</v>
      </c>
      <c r="Y37" s="36">
        <f t="shared" si="2"/>
        <v>1237609.6235428052</v>
      </c>
      <c r="Z37" s="62">
        <f>'Anne-1'!AC37</f>
        <v>376164.29020947195</v>
      </c>
      <c r="AA37" s="62">
        <f>'Anne-1'!AD37</f>
        <v>861445.3333333331</v>
      </c>
      <c r="AC37" s="62">
        <f>AC34+AC35+AC36</f>
        <v>357946</v>
      </c>
      <c r="AD37" s="62">
        <f>AD34+AD35+AD36</f>
        <v>834559.9999999999</v>
      </c>
      <c r="AE37" s="81">
        <f>AC37+AD37</f>
        <v>1192506</v>
      </c>
    </row>
    <row r="38" spans="1:27" ht="14.25">
      <c r="A38" s="107" t="s">
        <v>51</v>
      </c>
      <c r="B38" s="109"/>
      <c r="C38" s="3"/>
      <c r="D38" s="149">
        <f>D37/U37*100</f>
        <v>12.306367216997046</v>
      </c>
      <c r="E38" s="149">
        <f>E37/U37*100</f>
        <v>0.7627728279185958</v>
      </c>
      <c r="F38" s="149">
        <f>F37/U37</f>
        <v>0.13069140044915642</v>
      </c>
      <c r="G38" s="149">
        <f>G37/U37*100</f>
        <v>22.145652918926814</v>
      </c>
      <c r="H38" s="149">
        <f>H37/U37*100</f>
        <v>12.89380522656129</v>
      </c>
      <c r="I38" s="149">
        <f>I37/U37*100</f>
        <v>17.594725054164844</v>
      </c>
      <c r="J38" s="149"/>
      <c r="K38" s="149"/>
      <c r="L38" s="149">
        <f>L37/U37*100</f>
        <v>7.017257255284555</v>
      </c>
      <c r="M38" s="149">
        <f>M37/U37*100</f>
        <v>14.12255678903089</v>
      </c>
      <c r="N38" s="149">
        <f>N37/U37*100</f>
        <v>7.422994338542188</v>
      </c>
      <c r="O38" s="149">
        <f>O37/U37*100</f>
        <v>3.678346046305984</v>
      </c>
      <c r="P38" s="149">
        <f>P37/U37*100</f>
        <v>0.45910007568335925</v>
      </c>
      <c r="Q38" s="149">
        <f>Q37/U37*100</f>
        <v>1.0310275093451122</v>
      </c>
      <c r="R38" s="149">
        <f>R37/U37*100</f>
        <v>0.24226208140801286</v>
      </c>
      <c r="S38" s="149">
        <f>S37/U37*100</f>
        <v>0.3231326598313082</v>
      </c>
      <c r="T38" s="149">
        <f>T37/U37*100</f>
        <v>86.93085995508436</v>
      </c>
      <c r="U38" s="149">
        <f>U37/U37*100</f>
        <v>100</v>
      </c>
      <c r="V38" s="95"/>
      <c r="Z38" s="24"/>
      <c r="AA38" s="24"/>
    </row>
    <row r="39" spans="1:31" ht="15" thickBot="1">
      <c r="A39" s="101"/>
      <c r="B39" s="77"/>
      <c r="C39" s="101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77"/>
      <c r="Z39" s="24"/>
      <c r="AA39" s="24"/>
      <c r="AE39" s="81"/>
    </row>
    <row r="40" spans="1:31" ht="15">
      <c r="A40" s="123" t="s">
        <v>276</v>
      </c>
      <c r="B40" s="124"/>
      <c r="C40" s="133">
        <v>5</v>
      </c>
      <c r="D40" s="129">
        <v>115228111</v>
      </c>
      <c r="E40" s="120">
        <v>7131492</v>
      </c>
      <c r="F40" s="120">
        <v>122359603</v>
      </c>
      <c r="G40" s="120">
        <v>201761303</v>
      </c>
      <c r="H40" s="120">
        <v>118483658</v>
      </c>
      <c r="I40" s="120">
        <v>160452664</v>
      </c>
      <c r="J40" s="120">
        <v>72307003</v>
      </c>
      <c r="K40" s="120">
        <v>15.580285450142954</v>
      </c>
      <c r="L40" s="120">
        <v>64775545</v>
      </c>
      <c r="M40" s="120">
        <v>128685043</v>
      </c>
      <c r="N40" s="120">
        <v>66911830</v>
      </c>
      <c r="O40" s="120">
        <v>32780881</v>
      </c>
      <c r="P40" s="120">
        <v>3969562</v>
      </c>
      <c r="Q40" s="120">
        <v>9862889</v>
      </c>
      <c r="R40" s="120">
        <v>2165592</v>
      </c>
      <c r="S40" s="120">
        <v>3007612</v>
      </c>
      <c r="T40" s="120">
        <v>792856579</v>
      </c>
      <c r="U40" s="120">
        <v>915216182</v>
      </c>
      <c r="V40" s="148">
        <f>D40/U40*100</f>
        <v>12.5902615432558</v>
      </c>
      <c r="W40" s="92"/>
      <c r="Y40" s="81"/>
      <c r="Z40" s="24"/>
      <c r="AA40" s="24"/>
      <c r="AE40" s="81"/>
    </row>
    <row r="41" spans="1:27" ht="15.75" thickBot="1">
      <c r="A41" s="125" t="s">
        <v>275</v>
      </c>
      <c r="B41" s="122"/>
      <c r="C41" s="4">
        <v>13</v>
      </c>
      <c r="D41" s="121">
        <f>D37-D40</f>
        <v>-1756669</v>
      </c>
      <c r="E41" s="121">
        <f aca="true" t="shared" si="9" ref="E41:R41">E37-E40</f>
        <v>-98309</v>
      </c>
      <c r="F41" s="121">
        <f t="shared" si="9"/>
        <v>-1854978</v>
      </c>
      <c r="G41" s="121">
        <f t="shared" si="9"/>
        <v>2433739</v>
      </c>
      <c r="H41" s="121">
        <f t="shared" si="9"/>
        <v>404284</v>
      </c>
      <c r="I41" s="121">
        <f t="shared" si="9"/>
        <v>1780332</v>
      </c>
      <c r="J41" s="121">
        <f t="shared" si="9"/>
        <v>1713647</v>
      </c>
      <c r="K41" s="121">
        <f t="shared" si="9"/>
        <v>0.39335332183281047</v>
      </c>
      <c r="L41" s="121">
        <f t="shared" si="9"/>
        <v>-72592</v>
      </c>
      <c r="M41" s="121">
        <f t="shared" si="9"/>
        <v>1532661</v>
      </c>
      <c r="N41" s="121">
        <f t="shared" si="9"/>
        <v>1532241</v>
      </c>
      <c r="O41" s="121">
        <f>O37-O40</f>
        <v>1135483</v>
      </c>
      <c r="P41" s="121">
        <f>P37-P40</f>
        <v>263592</v>
      </c>
      <c r="Q41" s="121">
        <f>Q37-Q40</f>
        <v>-356251</v>
      </c>
      <c r="R41" s="121">
        <f t="shared" si="9"/>
        <v>68197</v>
      </c>
      <c r="S41" s="121">
        <f>S37-S40</f>
        <v>-28152</v>
      </c>
      <c r="T41" s="121">
        <f>T37-T40</f>
        <v>8693534</v>
      </c>
      <c r="U41" s="121">
        <f>U37-U40</f>
        <v>6838556</v>
      </c>
      <c r="V41" s="472" t="s">
        <v>130</v>
      </c>
      <c r="W41" s="92"/>
      <c r="X41" s="92">
        <f>V40-V37</f>
        <v>0.28389432625875344</v>
      </c>
      <c r="Z41" s="24"/>
      <c r="AA41" s="24"/>
    </row>
    <row r="42" spans="1:24" ht="15">
      <c r="A42" s="123" t="s">
        <v>234</v>
      </c>
      <c r="B42" s="127"/>
      <c r="C42" s="135">
        <v>4</v>
      </c>
      <c r="D42" s="131">
        <v>121652687</v>
      </c>
      <c r="E42" s="132">
        <v>8457710</v>
      </c>
      <c r="F42" s="132">
        <v>130110397</v>
      </c>
      <c r="G42" s="132">
        <v>191479141</v>
      </c>
      <c r="H42" s="132">
        <v>124215343</v>
      </c>
      <c r="I42" s="132">
        <v>152386564</v>
      </c>
      <c r="J42" s="132">
        <v>61551196</v>
      </c>
      <c r="K42" s="132">
        <v>10.008944727071473</v>
      </c>
      <c r="L42" s="132">
        <v>67922137</v>
      </c>
      <c r="M42" s="132">
        <v>121607390</v>
      </c>
      <c r="N42" s="132">
        <v>60071967</v>
      </c>
      <c r="O42" s="132">
        <v>31683600</v>
      </c>
      <c r="P42" s="132">
        <v>2009474</v>
      </c>
      <c r="Q42" s="132">
        <v>11964484</v>
      </c>
      <c r="R42" s="132">
        <v>1555300</v>
      </c>
      <c r="S42" s="132">
        <v>2987976</v>
      </c>
      <c r="T42" s="132">
        <v>767883376</v>
      </c>
      <c r="U42" s="132">
        <v>897993773</v>
      </c>
      <c r="V42" s="148">
        <f>D42/U42*100</f>
        <v>13.547163761902834</v>
      </c>
      <c r="W42" s="92"/>
      <c r="X42" s="92">
        <f>V42-V37</f>
        <v>1.2407965449057876</v>
      </c>
    </row>
    <row r="43" spans="1:23" ht="16.5" thickBot="1">
      <c r="A43" s="126" t="s">
        <v>235</v>
      </c>
      <c r="B43" s="128"/>
      <c r="C43" s="134">
        <v>13</v>
      </c>
      <c r="D43" s="130">
        <f aca="true" t="shared" si="10" ref="D43:U43">D37-D42</f>
        <v>-8181245</v>
      </c>
      <c r="E43" s="130">
        <f t="shared" si="10"/>
        <v>-1424527</v>
      </c>
      <c r="F43" s="130">
        <f t="shared" si="10"/>
        <v>-9605772</v>
      </c>
      <c r="G43" s="130">
        <f t="shared" si="10"/>
        <v>12715901</v>
      </c>
      <c r="H43" s="130">
        <f t="shared" si="10"/>
        <v>-5327401</v>
      </c>
      <c r="I43" s="130">
        <f t="shared" si="10"/>
        <v>9846432</v>
      </c>
      <c r="J43" s="130">
        <f t="shared" si="10"/>
        <v>12469454</v>
      </c>
      <c r="K43" s="130">
        <f t="shared" si="10"/>
        <v>5.964694044904292</v>
      </c>
      <c r="L43" s="130">
        <f t="shared" si="10"/>
        <v>-3219184</v>
      </c>
      <c r="M43" s="130">
        <f t="shared" si="10"/>
        <v>8610314</v>
      </c>
      <c r="N43" s="130">
        <f t="shared" si="10"/>
        <v>8372104</v>
      </c>
      <c r="O43" s="130">
        <f t="shared" si="10"/>
        <v>2232764</v>
      </c>
      <c r="P43" s="130">
        <f t="shared" si="10"/>
        <v>2223680</v>
      </c>
      <c r="Q43" s="130">
        <f t="shared" si="10"/>
        <v>-2457846</v>
      </c>
      <c r="R43" s="130">
        <f t="shared" si="10"/>
        <v>678489</v>
      </c>
      <c r="S43" s="130">
        <f t="shared" si="10"/>
        <v>-8516</v>
      </c>
      <c r="T43" s="130">
        <f t="shared" si="10"/>
        <v>33666737</v>
      </c>
      <c r="U43" s="130">
        <f t="shared" si="10"/>
        <v>24060965</v>
      </c>
      <c r="V43" s="473" t="s">
        <v>130</v>
      </c>
      <c r="W43" s="92"/>
    </row>
    <row r="44" spans="1:22" ht="15.75" hidden="1">
      <c r="A44" s="168" t="s">
        <v>127</v>
      </c>
      <c r="B44" s="169"/>
      <c r="C44" s="170">
        <v>7</v>
      </c>
      <c r="D44" s="171">
        <f>'Anne-8'!D44</f>
        <v>-1691535</v>
      </c>
      <c r="E44" s="172">
        <f>'Anne-8'!E44</f>
        <v>81099</v>
      </c>
      <c r="F44" s="172">
        <f>'Anne-8'!F44</f>
        <v>-1610436</v>
      </c>
      <c r="G44" s="172">
        <f>'Anne-8'!G44</f>
        <v>72217</v>
      </c>
      <c r="H44" s="172">
        <f>'Anne-8'!I44</f>
        <v>-3595</v>
      </c>
      <c r="I44" s="173"/>
      <c r="J44" s="173"/>
      <c r="K44" s="173"/>
      <c r="L44" s="172">
        <f>'Anne-8'!J44</f>
        <v>11892</v>
      </c>
      <c r="M44" s="173"/>
      <c r="N44" s="173"/>
      <c r="O44" s="172"/>
      <c r="P44" s="173"/>
      <c r="Q44" s="172">
        <f>'Anne-8'!L44</f>
        <v>4137</v>
      </c>
      <c r="R44" s="172">
        <f>'Anne-8'!K44</f>
        <v>22404</v>
      </c>
      <c r="S44" s="173"/>
      <c r="T44" s="172">
        <f>'Anne-8'!N44</f>
        <v>118845</v>
      </c>
      <c r="U44" s="172">
        <f>'Anne-8'!O44</f>
        <v>-1491591</v>
      </c>
      <c r="V44" s="174">
        <f>D44/U44</f>
        <v>1.1340474701174785</v>
      </c>
    </row>
    <row r="45" spans="1:25" ht="15">
      <c r="A45">
        <f>'Anne-5'!A46</f>
        <v>0</v>
      </c>
      <c r="B45" s="26"/>
      <c r="C45" s="26"/>
      <c r="U45" s="24"/>
      <c r="Y45" s="92"/>
    </row>
    <row r="46" spans="2:21" ht="15">
      <c r="B46" s="26"/>
      <c r="C46" s="26"/>
      <c r="U46" s="82"/>
    </row>
    <row r="47" ht="12.75">
      <c r="U47" s="303">
        <f>U41/1000000</f>
        <v>6.838556</v>
      </c>
    </row>
    <row r="48" spans="4:21" ht="12.75">
      <c r="D48" s="438">
        <f>D15/U15*100</f>
        <v>23.9894668965387</v>
      </c>
      <c r="E48" s="438"/>
      <c r="F48" s="438"/>
      <c r="G48" s="438">
        <f>G15/U15*100</f>
        <v>29.076910001861638</v>
      </c>
      <c r="H48" s="438">
        <f>H15/U15*100</f>
        <v>20.522581149953727</v>
      </c>
      <c r="I48" s="438">
        <f>I15/U15*100</f>
        <v>7.119854522300555</v>
      </c>
      <c r="J48" s="438">
        <f>J15/V15*100</f>
        <v>0</v>
      </c>
      <c r="K48" s="438">
        <f>K15/W15*100</f>
        <v>0</v>
      </c>
      <c r="L48" s="438">
        <f>L15/U15*100</f>
        <v>1.8042796128868634</v>
      </c>
      <c r="M48" s="438">
        <f>M15/U15*100</f>
        <v>6.910541467349808</v>
      </c>
      <c r="N48" s="438">
        <f>N15/U15*100</f>
        <v>10.576366349108707</v>
      </c>
      <c r="O48" s="438">
        <f>O15/U15*100</f>
        <v>0</v>
      </c>
      <c r="P48" s="438">
        <f>P15/U15*100</f>
        <v>0</v>
      </c>
      <c r="Q48" s="438">
        <f>Q15/U15*100</f>
        <v>0</v>
      </c>
      <c r="R48" s="438">
        <f>R15/U15*100</f>
        <v>0</v>
      </c>
      <c r="S48" s="438">
        <f>S15/U15*100</f>
        <v>0</v>
      </c>
      <c r="U48" s="92">
        <f>U37/1000000</f>
        <v>922.054738</v>
      </c>
    </row>
    <row r="49" spans="4:21" ht="12.75">
      <c r="D49" s="81"/>
      <c r="F49" s="81"/>
      <c r="U49" s="81"/>
    </row>
    <row r="50" spans="4:6" ht="12.75">
      <c r="D50" s="81"/>
      <c r="F50" s="81"/>
    </row>
    <row r="51" ht="12.75">
      <c r="F51" s="81"/>
    </row>
    <row r="52" ht="12.75">
      <c r="D52" s="81"/>
    </row>
    <row r="68" ht="12.75">
      <c r="S68" s="83"/>
    </row>
    <row r="69" ht="12.75">
      <c r="S69" s="83"/>
    </row>
    <row r="70" ht="12.75">
      <c r="S70" s="83"/>
    </row>
    <row r="71" ht="12.75">
      <c r="S71" s="83"/>
    </row>
    <row r="72" ht="12.75">
      <c r="S72" s="83"/>
    </row>
    <row r="73" ht="12.75">
      <c r="S73" s="83"/>
    </row>
    <row r="74" ht="12.75">
      <c r="S74" s="83"/>
    </row>
    <row r="75" ht="12.75">
      <c r="S75" s="83"/>
    </row>
    <row r="76" ht="12.75">
      <c r="S76" s="83"/>
    </row>
    <row r="77" ht="12.75">
      <c r="S77" s="83"/>
    </row>
    <row r="78" ht="12.75">
      <c r="S78" s="83"/>
    </row>
    <row r="79" ht="12.75">
      <c r="S79" s="83"/>
    </row>
    <row r="80" spans="19:20" ht="12.75">
      <c r="S80" s="83"/>
      <c r="T80" s="83"/>
    </row>
  </sheetData>
  <sheetProtection/>
  <mergeCells count="8">
    <mergeCell ref="X6:X7"/>
    <mergeCell ref="W6:W7"/>
    <mergeCell ref="V6:V7"/>
    <mergeCell ref="A6:A7"/>
    <mergeCell ref="B6:B7"/>
    <mergeCell ref="T6:T7"/>
    <mergeCell ref="U6:U7"/>
    <mergeCell ref="C6:C7"/>
  </mergeCells>
  <conditionalFormatting sqref="V9:V36">
    <cfRule type="top10" priority="1" dxfId="1" stopIfTrue="1" rank="5" bottom="1"/>
    <cfRule type="top10" priority="2" dxfId="0" stopIfTrue="1" rank="5" percent="1"/>
  </conditionalFormatting>
  <conditionalFormatting sqref="V9:V37">
    <cfRule type="top10" priority="3" dxfId="1" stopIfTrue="1" rank="5" bottom="1"/>
    <cfRule type="top10" priority="4" dxfId="0" stopIfTrue="1" rank="5"/>
  </conditionalFormatting>
  <printOptions horizontalCentered="1" verticalCentered="1"/>
  <pageMargins left="0.1968503937007874" right="0" top="0.5511811023622047" bottom="0.5511811023622047" header="0.5118110236220472" footer="0.5118110236220472"/>
  <pageSetup horizontalDpi="600" verticalDpi="600" orientation="landscape" paperSize="9" scale="64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7"/>
  <sheetViews>
    <sheetView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S43" sqref="S43"/>
    </sheetView>
  </sheetViews>
  <sheetFormatPr defaultColWidth="9.140625" defaultRowHeight="12.75"/>
  <cols>
    <col min="1" max="1" width="6.140625" style="2" customWidth="1"/>
    <col min="2" max="2" width="17.7109375" style="2" customWidth="1"/>
    <col min="3" max="3" width="5.7109375" style="2" customWidth="1"/>
    <col min="4" max="4" width="12.7109375" style="2" customWidth="1"/>
    <col min="5" max="5" width="9.8515625" style="2" customWidth="1"/>
    <col min="6" max="6" width="18.140625" style="2" customWidth="1"/>
    <col min="7" max="7" width="17.421875" style="2" customWidth="1"/>
    <col min="8" max="8" width="16.7109375" style="2" customWidth="1"/>
    <col min="9" max="9" width="12.7109375" style="2" customWidth="1"/>
    <col min="10" max="10" width="12.57421875" style="2" customWidth="1"/>
    <col min="11" max="11" width="12.7109375" style="2" customWidth="1"/>
    <col min="12" max="12" width="11.57421875" style="2" customWidth="1"/>
    <col min="13" max="13" width="12.421875" style="2" customWidth="1"/>
    <col min="14" max="14" width="10.57421875" style="2" customWidth="1"/>
    <col min="15" max="15" width="11.7109375" style="2" customWidth="1"/>
    <col min="16" max="16" width="9.8515625" style="2" customWidth="1"/>
    <col min="17" max="17" width="10.00390625" style="2" customWidth="1"/>
    <col min="18" max="18" width="12.7109375" style="2" customWidth="1"/>
    <col min="19" max="19" width="12.8515625" style="2" customWidth="1"/>
    <col min="20" max="20" width="9.28125" style="2" customWidth="1"/>
    <col min="21" max="21" width="11.28125" style="2" customWidth="1"/>
    <col min="22" max="22" width="11.28125" style="2" bestFit="1" customWidth="1"/>
    <col min="23" max="23" width="12.421875" style="2" bestFit="1" customWidth="1"/>
    <col min="24" max="24" width="11.28125" style="2" customWidth="1"/>
    <col min="25" max="16384" width="9.140625" style="2" customWidth="1"/>
  </cols>
  <sheetData>
    <row r="1" spans="5:19" ht="15">
      <c r="E1" s="14"/>
      <c r="S1" s="76" t="s">
        <v>113</v>
      </c>
    </row>
    <row r="2" ht="14.25">
      <c r="B2" s="2" t="str">
        <f>'Anne-4'!B2</f>
        <v>No. 1-2(1)/Market Share/2013-CP&amp;M </v>
      </c>
    </row>
    <row r="4" spans="2:3" ht="15">
      <c r="B4" s="76" t="s">
        <v>277</v>
      </c>
      <c r="C4" s="76"/>
    </row>
    <row r="5" spans="4:17" ht="14.25">
      <c r="D5" s="90">
        <v>1</v>
      </c>
      <c r="E5" s="90">
        <v>2</v>
      </c>
      <c r="F5" s="90"/>
      <c r="G5" s="90">
        <v>3</v>
      </c>
      <c r="H5" s="90">
        <v>4</v>
      </c>
      <c r="I5" s="90">
        <v>5</v>
      </c>
      <c r="J5" s="90">
        <v>6</v>
      </c>
      <c r="K5" s="90">
        <v>7</v>
      </c>
      <c r="L5" s="90">
        <v>8</v>
      </c>
      <c r="M5" s="90">
        <v>9</v>
      </c>
      <c r="N5" s="90">
        <v>10</v>
      </c>
      <c r="O5" s="90">
        <v>11</v>
      </c>
      <c r="P5" s="90">
        <v>12</v>
      </c>
      <c r="Q5" s="90">
        <v>13</v>
      </c>
    </row>
    <row r="6" spans="1:20" ht="15" customHeight="1">
      <c r="A6" s="608" t="s">
        <v>19</v>
      </c>
      <c r="B6" s="608" t="s">
        <v>20</v>
      </c>
      <c r="C6" s="45"/>
      <c r="D6" s="175" t="s">
        <v>64</v>
      </c>
      <c r="E6" s="13"/>
      <c r="F6" s="13"/>
      <c r="G6" s="13"/>
      <c r="H6" s="13"/>
      <c r="I6" s="13"/>
      <c r="J6" s="13"/>
      <c r="K6" s="13"/>
      <c r="L6" s="13"/>
      <c r="M6" s="15"/>
      <c r="N6" s="13"/>
      <c r="O6" s="15"/>
      <c r="P6" s="15"/>
      <c r="Q6" s="13"/>
      <c r="R6" s="674" t="s">
        <v>53</v>
      </c>
      <c r="S6" s="685" t="s">
        <v>70</v>
      </c>
      <c r="T6" s="681" t="s">
        <v>120</v>
      </c>
    </row>
    <row r="7" spans="1:20" ht="15.75" customHeight="1">
      <c r="A7" s="608"/>
      <c r="B7" s="608"/>
      <c r="C7" s="671" t="s">
        <v>118</v>
      </c>
      <c r="D7" s="677" t="s">
        <v>1</v>
      </c>
      <c r="E7" s="676" t="s">
        <v>2</v>
      </c>
      <c r="F7" s="674" t="s">
        <v>52</v>
      </c>
      <c r="G7" s="669" t="s">
        <v>75</v>
      </c>
      <c r="H7" s="669" t="s">
        <v>134</v>
      </c>
      <c r="I7" s="669" t="s">
        <v>110</v>
      </c>
      <c r="J7" s="670" t="s">
        <v>59</v>
      </c>
      <c r="K7" s="669" t="s">
        <v>11</v>
      </c>
      <c r="L7" s="669" t="s">
        <v>10</v>
      </c>
      <c r="M7" s="678" t="s">
        <v>136</v>
      </c>
      <c r="N7" s="678" t="s">
        <v>146</v>
      </c>
      <c r="O7" s="670" t="s">
        <v>202</v>
      </c>
      <c r="P7" s="670" t="s">
        <v>201</v>
      </c>
      <c r="Q7" s="685" t="s">
        <v>200</v>
      </c>
      <c r="R7" s="684"/>
      <c r="S7" s="684"/>
      <c r="T7" s="682"/>
    </row>
    <row r="8" spans="1:20" ht="35.25" customHeight="1">
      <c r="A8" s="608"/>
      <c r="B8" s="608"/>
      <c r="C8" s="672"/>
      <c r="D8" s="677"/>
      <c r="E8" s="676"/>
      <c r="F8" s="675"/>
      <c r="G8" s="668"/>
      <c r="H8" s="679"/>
      <c r="I8" s="668"/>
      <c r="J8" s="670"/>
      <c r="K8" s="668"/>
      <c r="L8" s="668"/>
      <c r="M8" s="676"/>
      <c r="N8" s="676"/>
      <c r="O8" s="670"/>
      <c r="P8" s="670"/>
      <c r="Q8" s="686"/>
      <c r="R8" s="675"/>
      <c r="S8" s="675"/>
      <c r="T8" s="683"/>
    </row>
    <row r="9" spans="1:20" ht="30.75" customHeight="1">
      <c r="A9" s="5">
        <v>1</v>
      </c>
      <c r="B9" s="6" t="s">
        <v>21</v>
      </c>
      <c r="C9" s="6"/>
      <c r="D9" s="25"/>
      <c r="E9" s="10"/>
      <c r="F9" s="8">
        <f>D9+E9</f>
        <v>0</v>
      </c>
      <c r="G9" s="10"/>
      <c r="H9" s="8"/>
      <c r="I9" s="8"/>
      <c r="J9" s="8"/>
      <c r="K9" s="8"/>
      <c r="L9" s="9"/>
      <c r="M9" s="8"/>
      <c r="N9" s="35"/>
      <c r="O9" s="8"/>
      <c r="P9" s="8"/>
      <c r="Q9" s="35"/>
      <c r="R9" s="35">
        <f>G9+H9+I9+J9+K9+L9+Q9+P9+O9+M9+N9</f>
        <v>0</v>
      </c>
      <c r="S9" s="36">
        <f aca="true" t="shared" si="0" ref="S9:S34">R9+F9</f>
        <v>0</v>
      </c>
      <c r="T9" s="55"/>
    </row>
    <row r="10" spans="1:23" ht="13.5" customHeight="1">
      <c r="A10" s="5">
        <v>2</v>
      </c>
      <c r="B10" s="6" t="s">
        <v>22</v>
      </c>
      <c r="C10" s="85">
        <v>3</v>
      </c>
      <c r="D10" s="25">
        <f>'Anne-6'!D10+'Anne-7'!F10</f>
        <v>9786660</v>
      </c>
      <c r="E10" s="8"/>
      <c r="F10" s="8">
        <f>D10+E10</f>
        <v>9786660</v>
      </c>
      <c r="G10" s="207">
        <f>'Anne-6'!G10</f>
        <v>19700602</v>
      </c>
      <c r="H10" s="8">
        <f>'Anne-6'!S10+'Anne-7'!I10</f>
        <v>5907659</v>
      </c>
      <c r="I10" s="8">
        <f>'Anne-6'!I10</f>
        <v>6150608</v>
      </c>
      <c r="J10" s="8">
        <f>'Anne-7'!J10</f>
        <v>6480147</v>
      </c>
      <c r="K10" s="84">
        <f>'Anne-6'!N10</f>
        <v>12038573</v>
      </c>
      <c r="L10" s="9">
        <f>'Anne-6'!K10</f>
        <v>1940154</v>
      </c>
      <c r="M10" s="8">
        <f>'Anne-6'!V10</f>
        <v>4378406</v>
      </c>
      <c r="N10" s="35">
        <f>'Anne-6'!W10</f>
        <v>0</v>
      </c>
      <c r="O10" s="8">
        <f>'Anne-7'!L10</f>
        <v>0</v>
      </c>
      <c r="P10" s="8"/>
      <c r="Q10" s="35"/>
      <c r="R10" s="35">
        <f aca="true" t="shared" si="1" ref="R10:R37">G10+H10+I10+J10+K10+L10+Q10+P10+O10+M10+N10</f>
        <v>56596149</v>
      </c>
      <c r="S10" s="36">
        <f t="shared" si="0"/>
        <v>66382809</v>
      </c>
      <c r="T10" s="141">
        <f>D10/S10*100</f>
        <v>14.742762693275003</v>
      </c>
      <c r="W10" s="2">
        <v>9.898448680720525</v>
      </c>
    </row>
    <row r="11" spans="1:23" ht="16.5" customHeight="1">
      <c r="A11" s="5">
        <v>3</v>
      </c>
      <c r="B11" s="6" t="s">
        <v>23</v>
      </c>
      <c r="C11" s="85">
        <v>5</v>
      </c>
      <c r="D11" s="25">
        <f>'Anne-6'!D11+'Anne-7'!F11</f>
        <v>1253553</v>
      </c>
      <c r="E11" s="8"/>
      <c r="F11" s="8">
        <f aca="true" t="shared" si="2" ref="F11:F37">D11+E11</f>
        <v>1253553</v>
      </c>
      <c r="G11" s="207">
        <f>'Anne-6'!G11</f>
        <v>4394850</v>
      </c>
      <c r="H11" s="84">
        <f>'Anne-6'!S11+'Anne-7'!I11</f>
        <v>2579770</v>
      </c>
      <c r="I11" s="84">
        <f>'Anne-6'!I11</f>
        <v>2728862</v>
      </c>
      <c r="J11" s="8">
        <f>'Anne-7'!J11</f>
        <v>0</v>
      </c>
      <c r="K11" s="8">
        <f>'Anne-6'!N11</f>
        <v>547494</v>
      </c>
      <c r="L11" s="495">
        <f>'Anne-6'!K11</f>
        <v>3706030</v>
      </c>
      <c r="M11" s="8">
        <f>'Anne-6'!V11</f>
        <v>0</v>
      </c>
      <c r="N11" s="35">
        <f>'Anne-6'!W11</f>
        <v>0</v>
      </c>
      <c r="O11" s="8">
        <f>'Anne-7'!L11</f>
        <v>0</v>
      </c>
      <c r="P11" s="8"/>
      <c r="Q11" s="35"/>
      <c r="R11" s="35">
        <f t="shared" si="1"/>
        <v>13957006</v>
      </c>
      <c r="S11" s="36">
        <f t="shared" si="0"/>
        <v>15210559</v>
      </c>
      <c r="T11" s="141">
        <f>D11/S11*100</f>
        <v>8.241334194226525</v>
      </c>
      <c r="W11" s="2">
        <v>13.041515395121522</v>
      </c>
    </row>
    <row r="12" spans="1:23" ht="15.75">
      <c r="A12" s="5">
        <v>4</v>
      </c>
      <c r="B12" s="6" t="s">
        <v>24</v>
      </c>
      <c r="C12" s="85">
        <v>7</v>
      </c>
      <c r="D12" s="25">
        <f>'Anne-6'!D12+'Anne-7'!F12</f>
        <v>3177577</v>
      </c>
      <c r="E12" s="8"/>
      <c r="F12" s="8">
        <f t="shared" si="2"/>
        <v>3177577</v>
      </c>
      <c r="G12" s="207">
        <f>'Anne-6'!G12</f>
        <v>21485973</v>
      </c>
      <c r="H12" s="84">
        <f>'Anne-6'!S12+'Anne-7'!I12</f>
        <v>9165549</v>
      </c>
      <c r="I12" s="84">
        <f>'Anne-6'!I12</f>
        <v>7113337</v>
      </c>
      <c r="J12" s="8">
        <f>'Anne-7'!J12</f>
        <v>2876605</v>
      </c>
      <c r="K12" s="84">
        <f>'Anne-6'!N12</f>
        <v>6277988</v>
      </c>
      <c r="L12" s="495">
        <f>'Anne-6'!K12</f>
        <v>5177910</v>
      </c>
      <c r="M12" s="84">
        <f>'Anne-6'!V12</f>
        <v>4792525</v>
      </c>
      <c r="N12" s="35">
        <f>'Anne-6'!W12</f>
        <v>0</v>
      </c>
      <c r="O12" s="8">
        <f>'Anne-7'!L12</f>
        <v>0</v>
      </c>
      <c r="P12" s="8"/>
      <c r="Q12" s="35"/>
      <c r="R12" s="35">
        <f t="shared" si="1"/>
        <v>56889887</v>
      </c>
      <c r="S12" s="36">
        <f t="shared" si="0"/>
        <v>60067464</v>
      </c>
      <c r="T12" s="141">
        <f>D12/S12*100</f>
        <v>5.290013575402484</v>
      </c>
      <c r="W12" s="2">
        <v>12.823562634511095</v>
      </c>
    </row>
    <row r="13" spans="1:23" ht="15">
      <c r="A13" s="5">
        <v>5</v>
      </c>
      <c r="B13" s="6" t="s">
        <v>25</v>
      </c>
      <c r="C13" s="85"/>
      <c r="D13" s="25"/>
      <c r="E13" s="8"/>
      <c r="F13" s="8">
        <f t="shared" si="2"/>
        <v>0</v>
      </c>
      <c r="G13" s="10"/>
      <c r="H13" s="8"/>
      <c r="I13" s="8"/>
      <c r="J13" s="8"/>
      <c r="K13" s="8"/>
      <c r="L13" s="9"/>
      <c r="M13" s="8"/>
      <c r="N13" s="35"/>
      <c r="O13" s="8"/>
      <c r="P13" s="8"/>
      <c r="Q13" s="35"/>
      <c r="R13" s="35">
        <f t="shared" si="1"/>
        <v>0</v>
      </c>
      <c r="S13" s="36">
        <f t="shared" si="0"/>
        <v>0</v>
      </c>
      <c r="T13" s="141"/>
      <c r="W13" s="2">
        <v>10.085041212379718</v>
      </c>
    </row>
    <row r="14" spans="1:23" ht="15.75">
      <c r="A14" s="5">
        <v>6</v>
      </c>
      <c r="B14" s="6" t="s">
        <v>26</v>
      </c>
      <c r="C14" s="85">
        <v>6</v>
      </c>
      <c r="D14" s="25">
        <f>'Anne-6'!D14+'Anne-7'!F14</f>
        <v>4420814</v>
      </c>
      <c r="E14" s="8"/>
      <c r="F14" s="8">
        <f t="shared" si="2"/>
        <v>4420814</v>
      </c>
      <c r="G14" s="207">
        <f>'Anne-6'!G14</f>
        <v>7237646</v>
      </c>
      <c r="H14" s="84">
        <f>'Anne-6'!S14+'Anne-7'!I14</f>
        <v>6729465</v>
      </c>
      <c r="I14" s="84">
        <f>'Anne-6'!I14</f>
        <v>17046975</v>
      </c>
      <c r="J14" s="8">
        <f>'Anne-7'!J14</f>
        <v>2845111</v>
      </c>
      <c r="K14" s="84">
        <f>'Anne-6'!N14</f>
        <v>8938782</v>
      </c>
      <c r="L14" s="9">
        <f>'Anne-6'!K14</f>
        <v>30773</v>
      </c>
      <c r="M14" s="84">
        <f>'Anne-6'!V14</f>
        <v>5122178</v>
      </c>
      <c r="N14" s="35">
        <f>'Anne-6'!W14</f>
        <v>1375776</v>
      </c>
      <c r="O14" s="8">
        <f>'Anne-7'!L14</f>
        <v>177527</v>
      </c>
      <c r="P14" s="8"/>
      <c r="Q14" s="35"/>
      <c r="R14" s="35">
        <f t="shared" si="1"/>
        <v>49504233</v>
      </c>
      <c r="S14" s="36">
        <f t="shared" si="0"/>
        <v>53925047</v>
      </c>
      <c r="T14" s="141">
        <f>D14/S14*100</f>
        <v>8.198071667883758</v>
      </c>
      <c r="W14" s="2">
        <v>18.210636334802775</v>
      </c>
    </row>
    <row r="15" spans="1:23" ht="15.75">
      <c r="A15" s="5">
        <v>7</v>
      </c>
      <c r="B15" s="6" t="s">
        <v>27</v>
      </c>
      <c r="C15" s="85">
        <v>3</v>
      </c>
      <c r="D15" s="25">
        <f>'Anne-6'!D15+'Anne-7'!F15</f>
        <v>3256936</v>
      </c>
      <c r="E15" s="8"/>
      <c r="F15" s="8">
        <f t="shared" si="2"/>
        <v>3256936</v>
      </c>
      <c r="G15" s="10">
        <f>'Anne-6'!G15</f>
        <v>2368740</v>
      </c>
      <c r="H15" s="8">
        <f>'Anne-6'!S15+'Anne-7'!I15</f>
        <v>2191074</v>
      </c>
      <c r="I15" s="84">
        <f>'Anne-6'!I15</f>
        <v>4808021</v>
      </c>
      <c r="J15" s="8">
        <f>'Anne-7'!J15</f>
        <v>2664330</v>
      </c>
      <c r="K15" s="84">
        <f>'Anne-6'!N15</f>
        <v>4061249</v>
      </c>
      <c r="L15" s="9">
        <f>'Anne-6'!K15</f>
        <v>11092</v>
      </c>
      <c r="M15" s="8">
        <f>'Anne-6'!V15</f>
        <v>0</v>
      </c>
      <c r="N15" s="35">
        <f>'Anne-6'!W15</f>
        <v>1385674</v>
      </c>
      <c r="O15" s="8">
        <f>'Anne-7'!L15</f>
        <v>0</v>
      </c>
      <c r="P15" s="8"/>
      <c r="Q15" s="35"/>
      <c r="R15" s="35">
        <f t="shared" si="1"/>
        <v>17490180</v>
      </c>
      <c r="S15" s="36">
        <f t="shared" si="0"/>
        <v>20747116</v>
      </c>
      <c r="T15" s="141">
        <f>D15/S15*100</f>
        <v>15.698258977295929</v>
      </c>
      <c r="U15" s="23"/>
      <c r="V15" s="23"/>
      <c r="W15" s="2">
        <v>25.596780822618488</v>
      </c>
    </row>
    <row r="16" spans="1:23" ht="15.75">
      <c r="A16" s="5">
        <v>8</v>
      </c>
      <c r="B16" s="6" t="s">
        <v>81</v>
      </c>
      <c r="C16" s="85">
        <v>2</v>
      </c>
      <c r="D16" s="25">
        <f>'Anne-6'!D16+'Anne-7'!F16</f>
        <v>1527796</v>
      </c>
      <c r="E16" s="8"/>
      <c r="F16" s="8">
        <f t="shared" si="2"/>
        <v>1527796</v>
      </c>
      <c r="G16" s="207">
        <f>'Anne-6'!G16</f>
        <v>2155419</v>
      </c>
      <c r="H16" s="84">
        <f>'Anne-6'!S16+'Anne-7'!I16</f>
        <v>1516446</v>
      </c>
      <c r="I16" s="8">
        <f>'Anne-6'!I16</f>
        <v>527782</v>
      </c>
      <c r="J16" s="8">
        <f>'Anne-7'!J16</f>
        <v>131411</v>
      </c>
      <c r="K16" s="8">
        <f>'Anne-6'!N16</f>
        <v>512266</v>
      </c>
      <c r="L16" s="9">
        <f>'Anne-6'!K16</f>
        <v>784007</v>
      </c>
      <c r="M16" s="8">
        <f>'Anne-6'!V16</f>
        <v>0</v>
      </c>
      <c r="N16" s="35">
        <f>'Anne-6'!W16</f>
        <v>0</v>
      </c>
      <c r="O16" s="8">
        <f>'Anne-7'!L16</f>
        <v>0</v>
      </c>
      <c r="P16" s="8"/>
      <c r="Q16" s="35"/>
      <c r="R16" s="35">
        <f t="shared" si="1"/>
        <v>5627331</v>
      </c>
      <c r="S16" s="36">
        <f t="shared" si="0"/>
        <v>7155127</v>
      </c>
      <c r="T16" s="141">
        <f>D16/S16*100</f>
        <v>21.352465162393344</v>
      </c>
      <c r="U16" s="23"/>
      <c r="W16" s="2">
        <v>17.56694320474712</v>
      </c>
    </row>
    <row r="17" spans="1:23" ht="15.75">
      <c r="A17" s="5">
        <v>9</v>
      </c>
      <c r="B17" s="6" t="s">
        <v>82</v>
      </c>
      <c r="C17" s="85">
        <v>3</v>
      </c>
      <c r="D17" s="25">
        <f>'Anne-6'!D17+'Anne-7'!F17</f>
        <v>1246493</v>
      </c>
      <c r="E17" s="8"/>
      <c r="F17" s="8">
        <f t="shared" si="2"/>
        <v>1246493</v>
      </c>
      <c r="G17" s="207">
        <f>'Anne-6'!G17</f>
        <v>2571114</v>
      </c>
      <c r="H17" s="8">
        <f>'Anne-6'!S17+'Anne-7'!I17</f>
        <v>714878</v>
      </c>
      <c r="I17" s="8">
        <f>'Anne-6'!I17</f>
        <v>732422</v>
      </c>
      <c r="J17" s="8">
        <f>'Anne-7'!J17</f>
        <v>0</v>
      </c>
      <c r="K17" s="8">
        <f>'Anne-6'!N17</f>
        <v>306493</v>
      </c>
      <c r="L17" s="495">
        <f>'Anne-6'!K17</f>
        <v>2108278</v>
      </c>
      <c r="M17" s="8">
        <f>'Anne-6'!V17</f>
        <v>0</v>
      </c>
      <c r="N17" s="35">
        <f>'Anne-6'!W17</f>
        <v>0</v>
      </c>
      <c r="O17" s="8">
        <f>'Anne-7'!L17</f>
        <v>0</v>
      </c>
      <c r="P17" s="8"/>
      <c r="Q17" s="35"/>
      <c r="R17" s="35">
        <f t="shared" si="1"/>
        <v>6433185</v>
      </c>
      <c r="S17" s="36">
        <f t="shared" si="0"/>
        <v>7679678</v>
      </c>
      <c r="T17" s="141">
        <f>D17/S17*100</f>
        <v>16.231058125093263</v>
      </c>
      <c r="V17" s="23"/>
      <c r="W17" s="2">
        <v>10.615533963378411</v>
      </c>
    </row>
    <row r="18" spans="1:23" ht="15">
      <c r="A18" s="5">
        <v>10</v>
      </c>
      <c r="B18" s="6" t="s">
        <v>30</v>
      </c>
      <c r="C18" s="85"/>
      <c r="D18" s="25"/>
      <c r="E18" s="8"/>
      <c r="F18" s="8"/>
      <c r="G18" s="10"/>
      <c r="H18" s="8"/>
      <c r="I18" s="8"/>
      <c r="J18" s="8"/>
      <c r="K18" s="8"/>
      <c r="L18" s="9"/>
      <c r="M18" s="8"/>
      <c r="N18" s="35"/>
      <c r="O18" s="8"/>
      <c r="P18" s="8"/>
      <c r="Q18" s="35"/>
      <c r="R18" s="35">
        <f t="shared" si="1"/>
        <v>0</v>
      </c>
      <c r="S18" s="36">
        <f t="shared" si="0"/>
        <v>0</v>
      </c>
      <c r="T18" s="141"/>
      <c r="W18" s="2">
        <v>17.20293779955842</v>
      </c>
    </row>
    <row r="19" spans="1:23" ht="15.75">
      <c r="A19" s="5">
        <v>11</v>
      </c>
      <c r="B19" s="6" t="s">
        <v>31</v>
      </c>
      <c r="C19" s="85">
        <v>2</v>
      </c>
      <c r="D19" s="25">
        <f>'Anne-6'!D19+'Anne-7'!F19</f>
        <v>7230944</v>
      </c>
      <c r="E19" s="8"/>
      <c r="F19" s="8">
        <f t="shared" si="2"/>
        <v>7230944</v>
      </c>
      <c r="G19" s="207">
        <f>'Anne-6'!G19</f>
        <v>17065791</v>
      </c>
      <c r="H19" s="8">
        <f>'Anne-6'!S19+'Anne-7'!I19</f>
        <v>6411962</v>
      </c>
      <c r="I19" s="8">
        <f>'Anne-6'!I19</f>
        <v>7146327</v>
      </c>
      <c r="J19" s="8">
        <f>'Anne-7'!J19</f>
        <v>5903442</v>
      </c>
      <c r="K19" s="8">
        <f>'Anne-6'!N19</f>
        <v>6600203</v>
      </c>
      <c r="L19" s="9">
        <f>'Anne-6'!K19</f>
        <v>2546089</v>
      </c>
      <c r="M19" s="8">
        <f>'Anne-6'!V19</f>
        <v>0</v>
      </c>
      <c r="N19" s="35">
        <f>'Anne-6'!W19</f>
        <v>0</v>
      </c>
      <c r="O19" s="8">
        <f>'Anne-7'!L19</f>
        <v>1881588</v>
      </c>
      <c r="P19" s="8"/>
      <c r="Q19" s="35"/>
      <c r="R19" s="35">
        <f t="shared" si="1"/>
        <v>47555402</v>
      </c>
      <c r="S19" s="36">
        <f t="shared" si="0"/>
        <v>54786346</v>
      </c>
      <c r="T19" s="141">
        <f>D19/S19*100</f>
        <v>13.198441816141562</v>
      </c>
      <c r="V19" s="23"/>
      <c r="W19" s="2">
        <v>13.102763575654794</v>
      </c>
    </row>
    <row r="20" spans="1:23" ht="15.75">
      <c r="A20" s="5">
        <v>12</v>
      </c>
      <c r="B20" s="6" t="s">
        <v>32</v>
      </c>
      <c r="C20" s="85">
        <v>2</v>
      </c>
      <c r="D20" s="25">
        <f>'Anne-6'!D20+'Anne-7'!F20</f>
        <v>8404573</v>
      </c>
      <c r="E20" s="8"/>
      <c r="F20" s="8">
        <f t="shared" si="2"/>
        <v>8404573</v>
      </c>
      <c r="G20" s="10">
        <f>'Anne-6'!G20</f>
        <v>3699195</v>
      </c>
      <c r="H20" s="8">
        <f>'Anne-6'!S20+'Anne-7'!I20</f>
        <v>2195624</v>
      </c>
      <c r="I20" s="8">
        <f>'Anne-6'!I20</f>
        <v>6625536</v>
      </c>
      <c r="J20" s="8">
        <f>'Anne-7'!J20</f>
        <v>1663978</v>
      </c>
      <c r="K20" s="84">
        <f>'Anne-6'!N20</f>
        <v>8563435</v>
      </c>
      <c r="L20" s="9">
        <f>'Anne-6'!K20</f>
        <v>1183</v>
      </c>
      <c r="M20" s="8">
        <f>'Anne-6'!V20</f>
        <v>0</v>
      </c>
      <c r="N20" s="35">
        <f>'Anne-6'!W20</f>
        <v>0</v>
      </c>
      <c r="O20" s="8">
        <f>'Anne-7'!L20</f>
        <v>428749</v>
      </c>
      <c r="P20" s="8"/>
      <c r="Q20" s="35"/>
      <c r="R20" s="35">
        <f t="shared" si="1"/>
        <v>23177700</v>
      </c>
      <c r="S20" s="36">
        <f t="shared" si="0"/>
        <v>31582273</v>
      </c>
      <c r="T20" s="141">
        <f>D20/S20*100</f>
        <v>26.61167864643561</v>
      </c>
      <c r="W20" s="2">
        <v>11.476392817874025</v>
      </c>
    </row>
    <row r="21" spans="1:23" ht="15.75">
      <c r="A21" s="5">
        <v>13</v>
      </c>
      <c r="B21" s="6" t="s">
        <v>83</v>
      </c>
      <c r="C21" s="85">
        <v>4</v>
      </c>
      <c r="D21" s="25">
        <f>'Anne-6'!D21+'Anne-7'!F21</f>
        <v>4999936</v>
      </c>
      <c r="E21" s="8"/>
      <c r="F21" s="8">
        <f t="shared" si="2"/>
        <v>4999936</v>
      </c>
      <c r="G21" s="207">
        <f>'Anne-6'!G21</f>
        <v>10484563</v>
      </c>
      <c r="H21" s="84">
        <f>'Anne-6'!S21+'Anne-7'!I21</f>
        <v>12829812</v>
      </c>
      <c r="I21" s="8">
        <f>'Anne-6'!I21</f>
        <v>4671534</v>
      </c>
      <c r="J21" s="8">
        <f>'Anne-7'!J21</f>
        <v>4038015</v>
      </c>
      <c r="K21" s="84">
        <f>'Anne-6'!N21</f>
        <v>16765452</v>
      </c>
      <c r="L21" s="9">
        <f>'Anne-6'!K21</f>
        <v>22694</v>
      </c>
      <c r="M21" s="8">
        <f>'Anne-6'!V21</f>
        <v>0</v>
      </c>
      <c r="N21" s="35">
        <f>'Anne-6'!W21</f>
        <v>1471704</v>
      </c>
      <c r="O21" s="8">
        <f>'Anne-7'!L21</f>
        <v>0</v>
      </c>
      <c r="P21" s="8"/>
      <c r="Q21" s="35"/>
      <c r="R21" s="35">
        <f t="shared" si="1"/>
        <v>50283774</v>
      </c>
      <c r="S21" s="36">
        <f t="shared" si="0"/>
        <v>55283710</v>
      </c>
      <c r="T21" s="141">
        <f>D21/S21*100</f>
        <v>9.04413976558375</v>
      </c>
      <c r="W21" s="2">
        <v>20.199704323097638</v>
      </c>
    </row>
    <row r="22" spans="1:23" ht="15.75">
      <c r="A22" s="5">
        <v>14</v>
      </c>
      <c r="B22" s="6" t="s">
        <v>34</v>
      </c>
      <c r="C22" s="85">
        <v>5</v>
      </c>
      <c r="D22" s="25">
        <f>'Anne-6'!D22+'Anne-7'!F22</f>
        <v>6669293</v>
      </c>
      <c r="E22" s="8"/>
      <c r="F22" s="8">
        <f t="shared" si="2"/>
        <v>6669293</v>
      </c>
      <c r="G22" s="207">
        <f>'Anne-6'!G22</f>
        <v>10490135</v>
      </c>
      <c r="H22" s="84">
        <f>'Anne-6'!S22+'Anne-7'!I22</f>
        <v>7389820</v>
      </c>
      <c r="I22" s="84">
        <f>'Anne-6'!I22</f>
        <v>15011575</v>
      </c>
      <c r="J22" s="8">
        <f>'Anne-7'!J22</f>
        <v>6222818</v>
      </c>
      <c r="K22" s="84">
        <f>'Anne-6'!N22</f>
        <v>18151446</v>
      </c>
      <c r="L22" s="9">
        <f>'Anne-6'!K22</f>
        <v>1389269</v>
      </c>
      <c r="M22" s="8">
        <f>'Anne-6'!V22</f>
        <v>6072987</v>
      </c>
      <c r="N22" s="35">
        <f>'Anne-6'!W22</f>
        <v>0</v>
      </c>
      <c r="O22" s="8">
        <f>'Anne-7'!L22</f>
        <v>0</v>
      </c>
      <c r="P22" s="8"/>
      <c r="Q22" s="35"/>
      <c r="R22" s="35">
        <f t="shared" si="1"/>
        <v>64728050</v>
      </c>
      <c r="S22" s="36">
        <f t="shared" si="0"/>
        <v>71397343</v>
      </c>
      <c r="T22" s="141">
        <f>D22/S22*100</f>
        <v>9.341094107661682</v>
      </c>
      <c r="W22" s="2">
        <v>16.415438804006907</v>
      </c>
    </row>
    <row r="23" spans="1:23" ht="15.75">
      <c r="A23" s="5">
        <v>15</v>
      </c>
      <c r="B23" s="6" t="s">
        <v>35</v>
      </c>
      <c r="C23" s="85">
        <v>3</v>
      </c>
      <c r="D23" s="25">
        <f>'Anne-6'!D23+'Anne-7'!F23</f>
        <v>1468054</v>
      </c>
      <c r="E23" s="8"/>
      <c r="F23" s="8">
        <f t="shared" si="2"/>
        <v>1468054</v>
      </c>
      <c r="G23" s="207">
        <f>'Anne-6'!G23</f>
        <v>3035984</v>
      </c>
      <c r="H23" s="8">
        <f>'Anne-6'!S23+'Anne-7'!I23</f>
        <v>1019408</v>
      </c>
      <c r="I23" s="8">
        <f>'Anne-6'!I23</f>
        <v>1129908</v>
      </c>
      <c r="J23" s="8">
        <f>'Anne-7'!J23</f>
        <v>0</v>
      </c>
      <c r="K23" s="8">
        <f>'Anne-6'!N23</f>
        <v>329958</v>
      </c>
      <c r="L23" s="495">
        <f>'Anne-6'!K23</f>
        <v>2338153</v>
      </c>
      <c r="M23" s="8">
        <f>'Anne-6'!V23</f>
        <v>0</v>
      </c>
      <c r="N23" s="35">
        <f>'Anne-6'!W23</f>
        <v>0</v>
      </c>
      <c r="O23" s="8">
        <f>'Anne-7'!L23</f>
        <v>0</v>
      </c>
      <c r="P23" s="8"/>
      <c r="Q23" s="35"/>
      <c r="R23" s="35">
        <f t="shared" si="1"/>
        <v>7853411</v>
      </c>
      <c r="S23" s="36">
        <f t="shared" si="0"/>
        <v>9321465</v>
      </c>
      <c r="T23" s="141">
        <f>D23/S23*100</f>
        <v>15.749176765669345</v>
      </c>
      <c r="W23" s="2">
        <v>18.233066796837388</v>
      </c>
    </row>
    <row r="24" spans="1:23" ht="15">
      <c r="A24" s="5">
        <v>16</v>
      </c>
      <c r="B24" s="6" t="s">
        <v>36</v>
      </c>
      <c r="C24" s="85"/>
      <c r="D24" s="25"/>
      <c r="E24" s="8"/>
      <c r="F24" s="8"/>
      <c r="G24" s="10"/>
      <c r="H24" s="8"/>
      <c r="I24" s="8"/>
      <c r="J24" s="8"/>
      <c r="K24" s="8"/>
      <c r="L24" s="9"/>
      <c r="M24" s="8"/>
      <c r="N24" s="35"/>
      <c r="O24" s="8"/>
      <c r="P24" s="8"/>
      <c r="Q24" s="35"/>
      <c r="R24" s="35">
        <f t="shared" si="1"/>
        <v>0</v>
      </c>
      <c r="S24" s="36">
        <f t="shared" si="0"/>
        <v>0</v>
      </c>
      <c r="T24" s="141"/>
      <c r="W24" s="2">
        <v>13.323404116715686</v>
      </c>
    </row>
    <row r="25" spans="1:23" ht="15.75">
      <c r="A25" s="5">
        <v>17</v>
      </c>
      <c r="B25" s="6" t="s">
        <v>37</v>
      </c>
      <c r="C25" s="85">
        <v>4</v>
      </c>
      <c r="D25" s="25">
        <f>'Anne-6'!D25+'Anne-7'!F25</f>
        <v>3319091</v>
      </c>
      <c r="E25" s="8"/>
      <c r="F25" s="8">
        <f t="shared" si="2"/>
        <v>3319091</v>
      </c>
      <c r="G25" s="207">
        <f>'Anne-6'!G25</f>
        <v>7616080</v>
      </c>
      <c r="H25" s="8">
        <f>'Anne-6'!S25+'Anne-7'!I25</f>
        <v>4242618</v>
      </c>
      <c r="I25" s="8">
        <f>'Anne-6'!I25</f>
        <v>3308052</v>
      </c>
      <c r="J25" s="8">
        <f>'Anne-7'!J25</f>
        <v>2015488</v>
      </c>
      <c r="K25" s="8">
        <f>'Anne-6'!N25</f>
        <v>1102358</v>
      </c>
      <c r="L25" s="9">
        <f>'Anne-6'!K25</f>
        <v>3558272</v>
      </c>
      <c r="M25" s="8">
        <f>'Anne-6'!V25</f>
        <v>0</v>
      </c>
      <c r="N25" s="35">
        <f>'Anne-6'!W25</f>
        <v>0</v>
      </c>
      <c r="O25" s="8">
        <f>'Anne-7'!L25</f>
        <v>0</v>
      </c>
      <c r="P25" s="8"/>
      <c r="Q25" s="35"/>
      <c r="R25" s="35">
        <f t="shared" si="1"/>
        <v>21842868</v>
      </c>
      <c r="S25" s="36">
        <f t="shared" si="0"/>
        <v>25161959</v>
      </c>
      <c r="T25" s="141">
        <f>D25/S25*100</f>
        <v>13.19090854571379</v>
      </c>
      <c r="W25" s="2">
        <v>11.157139831728973</v>
      </c>
    </row>
    <row r="26" spans="1:23" ht="15.75">
      <c r="A26" s="5">
        <v>18</v>
      </c>
      <c r="B26" s="6" t="s">
        <v>38</v>
      </c>
      <c r="C26" s="85">
        <v>4</v>
      </c>
      <c r="D26" s="25">
        <f>'Anne-6'!D26+'Anne-7'!F26</f>
        <v>4558608</v>
      </c>
      <c r="E26" s="8"/>
      <c r="F26" s="8">
        <f t="shared" si="2"/>
        <v>4558608</v>
      </c>
      <c r="G26" s="207">
        <f>'Anne-6'!G26</f>
        <v>7335050</v>
      </c>
      <c r="H26" s="8">
        <f>'Anne-6'!S26+'Anne-7'!I26</f>
        <v>2963345</v>
      </c>
      <c r="I26" s="84">
        <f>'Anne-6'!I26</f>
        <v>4609740</v>
      </c>
      <c r="J26" s="8">
        <f>'Anne-7'!J26</f>
        <v>2464452</v>
      </c>
      <c r="K26" s="84">
        <f>'Anne-6'!N26</f>
        <v>5804185</v>
      </c>
      <c r="L26" s="9">
        <f>'Anne-6'!K26</f>
        <v>866042</v>
      </c>
      <c r="M26" s="8">
        <f>'Anne-6'!V26</f>
        <v>0</v>
      </c>
      <c r="N26" s="35">
        <f>'Anne-6'!W26</f>
        <v>0</v>
      </c>
      <c r="O26" s="8">
        <f>'Anne-7'!L26</f>
        <v>0</v>
      </c>
      <c r="P26" s="8">
        <f>'Anne-7'!K26</f>
        <v>2023743</v>
      </c>
      <c r="Q26" s="35"/>
      <c r="R26" s="35">
        <f t="shared" si="1"/>
        <v>26066557</v>
      </c>
      <c r="S26" s="36">
        <f t="shared" si="0"/>
        <v>30625165</v>
      </c>
      <c r="T26" s="141">
        <f>D26/S26*100</f>
        <v>14.885170414592054</v>
      </c>
      <c r="U26" s="23"/>
      <c r="W26" s="2">
        <v>18.621049879510213</v>
      </c>
    </row>
    <row r="27" spans="1:23" ht="15.75">
      <c r="A27" s="5">
        <v>19</v>
      </c>
      <c r="B27" s="6" t="s">
        <v>39</v>
      </c>
      <c r="C27" s="85">
        <v>3</v>
      </c>
      <c r="D27" s="25">
        <f>'Anne-6'!D27+'Anne-7'!F27</f>
        <v>5998544</v>
      </c>
      <c r="E27" s="8"/>
      <c r="F27" s="8">
        <f t="shared" si="2"/>
        <v>5998544</v>
      </c>
      <c r="G27" s="207">
        <f>'Anne-6'!G27</f>
        <v>15562804</v>
      </c>
      <c r="H27" s="84">
        <f>'Anne-6'!S27+'Anne-7'!I27</f>
        <v>5936615</v>
      </c>
      <c r="I27" s="84">
        <f>'Anne-6'!I27</f>
        <v>9603620</v>
      </c>
      <c r="J27" s="8">
        <f>'Anne-7'!J27</f>
        <v>2153652</v>
      </c>
      <c r="K27" s="8">
        <f>'Anne-6'!N27</f>
        <v>5740348</v>
      </c>
      <c r="L27" s="9">
        <f>'Anne-6'!K27</f>
        <v>4310006</v>
      </c>
      <c r="M27" s="8">
        <f>'Anne-6'!V27</f>
        <v>0</v>
      </c>
      <c r="N27" s="35">
        <f>'Anne-6'!W27</f>
        <v>0</v>
      </c>
      <c r="O27" s="8">
        <f>'Anne-7'!L27</f>
        <v>2252647</v>
      </c>
      <c r="P27" s="8"/>
      <c r="Q27" s="35"/>
      <c r="R27" s="35">
        <f t="shared" si="1"/>
        <v>45559692</v>
      </c>
      <c r="S27" s="36">
        <f t="shared" si="0"/>
        <v>51558236</v>
      </c>
      <c r="T27" s="141">
        <f>D27/S27*100</f>
        <v>11.634502002745013</v>
      </c>
      <c r="U27" s="23"/>
      <c r="W27" s="2">
        <v>11.446058657568615</v>
      </c>
    </row>
    <row r="28" spans="1:23" ht="15.75">
      <c r="A28" s="5">
        <v>20</v>
      </c>
      <c r="B28" s="6" t="s">
        <v>40</v>
      </c>
      <c r="C28" s="85">
        <v>4</v>
      </c>
      <c r="D28" s="25">
        <f>'Anne-6'!D28+'Anne-7'!F28</f>
        <v>8289501</v>
      </c>
      <c r="E28" s="8"/>
      <c r="F28" s="8">
        <f t="shared" si="2"/>
        <v>8289501</v>
      </c>
      <c r="G28" s="207">
        <f>'Anne-6'!G28</f>
        <v>10338596</v>
      </c>
      <c r="H28" s="8">
        <f>'Anne-6'!S28+'Anne-7'!I28</f>
        <v>6106341</v>
      </c>
      <c r="I28" s="84">
        <f>'Anne-6'!I28</f>
        <v>10730963</v>
      </c>
      <c r="J28" s="8">
        <f>'Anne-7'!J28</f>
        <v>4008725</v>
      </c>
      <c r="K28" s="8">
        <f>'Anne-6'!N28</f>
        <v>2633971</v>
      </c>
      <c r="L28" s="495">
        <f>'Anne-6'!K28</f>
        <v>18180215</v>
      </c>
      <c r="M28" s="8">
        <f>'Anne-6'!V28</f>
        <v>0</v>
      </c>
      <c r="N28" s="35">
        <f>'Anne-6'!W28</f>
        <v>0</v>
      </c>
      <c r="O28" s="8">
        <f>'Anne-7'!L28</f>
        <v>1069983</v>
      </c>
      <c r="P28" s="8"/>
      <c r="Q28" s="35"/>
      <c r="R28" s="35">
        <f t="shared" si="1"/>
        <v>53068794</v>
      </c>
      <c r="S28" s="36">
        <f t="shared" si="0"/>
        <v>61358295</v>
      </c>
      <c r="T28" s="141">
        <f>D28/S28*100</f>
        <v>13.509992414228588</v>
      </c>
      <c r="W28" s="2">
        <v>9.456205902479791</v>
      </c>
    </row>
    <row r="29" spans="1:23" ht="15">
      <c r="A29" s="5">
        <v>21</v>
      </c>
      <c r="B29" s="6" t="s">
        <v>41</v>
      </c>
      <c r="C29" s="85"/>
      <c r="D29" s="25"/>
      <c r="E29" s="8"/>
      <c r="F29" s="8"/>
      <c r="G29" s="10"/>
      <c r="H29" s="8"/>
      <c r="I29" s="8"/>
      <c r="J29" s="8"/>
      <c r="K29" s="8"/>
      <c r="L29" s="9"/>
      <c r="M29" s="8"/>
      <c r="N29" s="35"/>
      <c r="O29" s="8"/>
      <c r="P29" s="8"/>
      <c r="Q29" s="35"/>
      <c r="R29" s="35">
        <f t="shared" si="1"/>
        <v>0</v>
      </c>
      <c r="S29" s="36">
        <f t="shared" si="0"/>
        <v>0</v>
      </c>
      <c r="T29" s="141"/>
      <c r="W29" s="2">
        <v>11.207944897028229</v>
      </c>
    </row>
    <row r="30" spans="1:23" ht="15.75">
      <c r="A30" s="5">
        <v>22</v>
      </c>
      <c r="B30" s="6" t="s">
        <v>84</v>
      </c>
      <c r="C30" s="85">
        <v>3</v>
      </c>
      <c r="D30" s="25">
        <f>'Anne-6'!D30+'Anne-7'!F30</f>
        <v>10356792</v>
      </c>
      <c r="E30" s="8"/>
      <c r="F30" s="8">
        <f t="shared" si="2"/>
        <v>10356792</v>
      </c>
      <c r="G30" s="207">
        <f>'Anne-6'!G30</f>
        <v>16211071</v>
      </c>
      <c r="H30" s="8">
        <f>'Anne-6'!S30+'Anne-7'!I30</f>
        <v>8657965</v>
      </c>
      <c r="I30" s="84">
        <f>'Anne-6'!I30</f>
        <v>15167294</v>
      </c>
      <c r="J30" s="8">
        <f>'Anne-7'!J30</f>
        <v>4190454</v>
      </c>
      <c r="K30" s="8">
        <f>'Anne-6'!N30</f>
        <v>7687655</v>
      </c>
      <c r="L30" s="9">
        <f>'Anne-6'!K30</f>
        <v>5160078</v>
      </c>
      <c r="M30" s="8">
        <f>'Anne-6'!V30</f>
        <v>7964835</v>
      </c>
      <c r="N30" s="35">
        <f>'Anne-6'!W30</f>
        <v>0</v>
      </c>
      <c r="O30" s="8">
        <f>'Anne-7'!L30</f>
        <v>0</v>
      </c>
      <c r="P30" s="8"/>
      <c r="Q30" s="35"/>
      <c r="R30" s="35">
        <f t="shared" si="1"/>
        <v>65039352</v>
      </c>
      <c r="S30" s="36">
        <f t="shared" si="0"/>
        <v>75396144</v>
      </c>
      <c r="T30" s="141">
        <f aca="true" t="shared" si="3" ref="T30:T38">D30/S30*100</f>
        <v>13.736500901160145</v>
      </c>
      <c r="W30" s="2">
        <v>11.264606079660437</v>
      </c>
    </row>
    <row r="31" spans="1:23" ht="15.75">
      <c r="A31" s="5">
        <v>23</v>
      </c>
      <c r="B31" s="6" t="s">
        <v>85</v>
      </c>
      <c r="C31" s="85">
        <v>6</v>
      </c>
      <c r="D31" s="25">
        <f>'Anne-6'!D31+'Anne-7'!F31</f>
        <v>4378244</v>
      </c>
      <c r="E31" s="8"/>
      <c r="F31" s="8">
        <f t="shared" si="2"/>
        <v>4378244</v>
      </c>
      <c r="G31" s="207">
        <f>'Anne-6'!G31</f>
        <v>6789781</v>
      </c>
      <c r="H31" s="84">
        <f>'Anne-6'!S31+'Anne-7'!I31</f>
        <v>5940226</v>
      </c>
      <c r="I31" s="84">
        <f>'Anne-6'!I31</f>
        <v>9650166</v>
      </c>
      <c r="J31" s="8">
        <f>'Anne-7'!J31</f>
        <v>3616406</v>
      </c>
      <c r="K31" s="84">
        <f>'Anne-6'!N31</f>
        <v>11325435</v>
      </c>
      <c r="L31" s="9">
        <f>'Anne-6'!K31</f>
        <v>109150</v>
      </c>
      <c r="M31" s="84">
        <f>'Anne-6'!V31</f>
        <v>5585433</v>
      </c>
      <c r="N31" s="35">
        <f>'Anne-6'!W31</f>
        <v>0</v>
      </c>
      <c r="O31" s="8">
        <f>'Anne-7'!L31</f>
        <v>262251</v>
      </c>
      <c r="P31" s="8"/>
      <c r="Q31" s="35"/>
      <c r="R31" s="35">
        <f t="shared" si="1"/>
        <v>43278848</v>
      </c>
      <c r="S31" s="36">
        <f t="shared" si="0"/>
        <v>47657092</v>
      </c>
      <c r="T31" s="141">
        <f t="shared" si="3"/>
        <v>9.186972633579908</v>
      </c>
      <c r="W31" s="8">
        <v>13.113051353560742</v>
      </c>
    </row>
    <row r="32" spans="1:23" ht="15.75">
      <c r="A32" s="5">
        <v>24</v>
      </c>
      <c r="B32" s="6" t="s">
        <v>44</v>
      </c>
      <c r="C32" s="85">
        <v>6</v>
      </c>
      <c r="D32" s="25">
        <f>'Anne-6'!D32+'Anne-7'!F32</f>
        <v>2063029</v>
      </c>
      <c r="E32" s="8"/>
      <c r="F32" s="8">
        <f t="shared" si="2"/>
        <v>2063029</v>
      </c>
      <c r="G32" s="207">
        <f>'Anne-6'!G32</f>
        <v>10106257</v>
      </c>
      <c r="H32" s="84">
        <f>'Anne-6'!S32+'Anne-7'!I32</f>
        <v>7315179</v>
      </c>
      <c r="I32" s="84">
        <f>'Anne-6'!I32</f>
        <v>12475210</v>
      </c>
      <c r="J32" s="8">
        <f>'Anne-7'!J32</f>
        <v>1230701</v>
      </c>
      <c r="K32" s="8">
        <f>'Anne-6'!N32</f>
        <v>2817511</v>
      </c>
      <c r="L32" s="9">
        <f>'Anne-6'!K32</f>
        <v>3439593</v>
      </c>
      <c r="M32" s="8">
        <f>'Anne-6'!V32</f>
        <v>0</v>
      </c>
      <c r="N32" s="35">
        <f>'Anne-6'!W32</f>
        <v>0</v>
      </c>
      <c r="O32" s="8">
        <f>'Anne-7'!L32</f>
        <v>1735327</v>
      </c>
      <c r="P32" s="8"/>
      <c r="Q32" s="35"/>
      <c r="R32" s="35">
        <f t="shared" si="1"/>
        <v>39119778</v>
      </c>
      <c r="S32" s="36">
        <f t="shared" si="0"/>
        <v>41182807</v>
      </c>
      <c r="T32" s="141">
        <f t="shared" si="3"/>
        <v>5.0094424112470035</v>
      </c>
      <c r="W32" s="2">
        <v>0</v>
      </c>
    </row>
    <row r="33" spans="1:23" ht="15.75">
      <c r="A33" s="5">
        <v>25</v>
      </c>
      <c r="B33" s="6" t="s">
        <v>45</v>
      </c>
      <c r="C33" s="85">
        <v>7</v>
      </c>
      <c r="D33" s="25">
        <f>'Anne-6'!D33+'Anne-7'!F33</f>
        <v>866187</v>
      </c>
      <c r="E33" s="8"/>
      <c r="F33" s="8">
        <f t="shared" si="2"/>
        <v>866187</v>
      </c>
      <c r="G33" s="207">
        <f>'Anne-6'!G33</f>
        <v>3842231</v>
      </c>
      <c r="H33" s="84">
        <f>'Anne-6'!S33+'Anne-7'!I33</f>
        <v>3863599</v>
      </c>
      <c r="I33" s="84">
        <f>'Anne-6'!I33</f>
        <v>4527455</v>
      </c>
      <c r="J33" s="84">
        <f>'Anne-7'!J33</f>
        <v>2875415</v>
      </c>
      <c r="K33" s="8">
        <f>'Anne-6'!N33</f>
        <v>1280909</v>
      </c>
      <c r="L33" s="9">
        <f>'Anne-6'!K33</f>
        <v>2804989</v>
      </c>
      <c r="M33" s="8">
        <f>'Anne-6'!V33</f>
        <v>0</v>
      </c>
      <c r="N33" s="35">
        <f>'Anne-6'!W33</f>
        <v>0</v>
      </c>
      <c r="O33" s="8">
        <f>'Anne-7'!L33</f>
        <v>707942</v>
      </c>
      <c r="P33" s="8"/>
      <c r="Q33" s="35"/>
      <c r="R33" s="35">
        <f t="shared" si="1"/>
        <v>19902540</v>
      </c>
      <c r="S33" s="36">
        <f t="shared" si="0"/>
        <v>20768727</v>
      </c>
      <c r="T33" s="141">
        <f t="shared" si="3"/>
        <v>4.170631160975827</v>
      </c>
      <c r="W33" s="23">
        <v>0</v>
      </c>
    </row>
    <row r="34" spans="1:23" ht="15.75">
      <c r="A34" s="5">
        <v>26</v>
      </c>
      <c r="B34" s="6" t="s">
        <v>46</v>
      </c>
      <c r="C34" s="85">
        <v>4</v>
      </c>
      <c r="D34" s="25">
        <f>'Anne-6'!D34+'Anne-7'!F34</f>
        <v>1444290</v>
      </c>
      <c r="E34" s="8"/>
      <c r="F34" s="8">
        <f t="shared" si="2"/>
        <v>1444290</v>
      </c>
      <c r="G34" s="207">
        <f>'Anne-6'!G34</f>
        <v>3952989</v>
      </c>
      <c r="H34" s="8">
        <f>'Anne-6'!S34+'Anne-7'!I34</f>
        <v>0</v>
      </c>
      <c r="I34" s="84">
        <f>'Anne-6'!I34</f>
        <v>2201316</v>
      </c>
      <c r="J34" s="8">
        <f>'Anne-7'!J34</f>
        <v>1441569</v>
      </c>
      <c r="K34" s="8">
        <f>'Anne-6'!N34</f>
        <v>0</v>
      </c>
      <c r="L34" s="495">
        <f>'Anne-6'!K34</f>
        <v>4252526</v>
      </c>
      <c r="M34" s="8">
        <f>'Anne-6'!V34</f>
        <v>0</v>
      </c>
      <c r="N34" s="35">
        <f>'Anne-6'!W34</f>
        <v>0</v>
      </c>
      <c r="O34" s="8">
        <f>'Anne-7'!L34</f>
        <v>0</v>
      </c>
      <c r="P34" s="8"/>
      <c r="Q34" s="35"/>
      <c r="R34" s="35">
        <f t="shared" si="1"/>
        <v>11848400</v>
      </c>
      <c r="S34" s="36">
        <f t="shared" si="0"/>
        <v>13292690</v>
      </c>
      <c r="T34" s="141">
        <f t="shared" si="3"/>
        <v>10.865295135898002</v>
      </c>
      <c r="W34" s="2">
        <v>11.883842284044729</v>
      </c>
    </row>
    <row r="35" spans="1:20" ht="15">
      <c r="A35" s="5"/>
      <c r="B35" s="7" t="s">
        <v>47</v>
      </c>
      <c r="C35" s="45">
        <v>5</v>
      </c>
      <c r="D35" s="70">
        <f aca="true" t="shared" si="4" ref="D35:S35">SUM(D9:D34)</f>
        <v>94716915</v>
      </c>
      <c r="E35" s="8">
        <f t="shared" si="4"/>
        <v>0</v>
      </c>
      <c r="F35" s="8">
        <f t="shared" si="4"/>
        <v>94716915</v>
      </c>
      <c r="G35" s="8">
        <f t="shared" si="4"/>
        <v>186444871</v>
      </c>
      <c r="H35" s="8">
        <f>SUM(H9:H34)</f>
        <v>103677355</v>
      </c>
      <c r="I35" s="8">
        <f t="shared" si="4"/>
        <v>145966703</v>
      </c>
      <c r="J35" s="8">
        <f t="shared" si="4"/>
        <v>56822719</v>
      </c>
      <c r="K35" s="8">
        <f>SUM(K9:K34)</f>
        <v>121485711</v>
      </c>
      <c r="L35" s="8">
        <f t="shared" si="4"/>
        <v>62736503</v>
      </c>
      <c r="M35" s="8">
        <f>SUM(M9:M34)</f>
        <v>33916364</v>
      </c>
      <c r="N35" s="25">
        <f>SUM(N9:N34)</f>
        <v>4233154</v>
      </c>
      <c r="O35" s="8">
        <f>SUM(O9:O34)</f>
        <v>8516014</v>
      </c>
      <c r="P35" s="8">
        <f>SUM(P9:P34)</f>
        <v>2023743</v>
      </c>
      <c r="Q35" s="8"/>
      <c r="R35" s="8">
        <f t="shared" si="4"/>
        <v>725823137</v>
      </c>
      <c r="S35" s="8">
        <f t="shared" si="4"/>
        <v>820540052</v>
      </c>
      <c r="T35" s="141">
        <f t="shared" si="3"/>
        <v>11.543240914216824</v>
      </c>
    </row>
    <row r="36" spans="1:20" ht="15">
      <c r="A36" s="4">
        <v>27</v>
      </c>
      <c r="B36" s="3" t="s">
        <v>48</v>
      </c>
      <c r="C36" s="4"/>
      <c r="D36" s="70"/>
      <c r="E36" s="70">
        <f>'Anne-6'!E36+'Anne-7'!G36</f>
        <v>2450027</v>
      </c>
      <c r="F36" s="8">
        <f t="shared" si="2"/>
        <v>2450027</v>
      </c>
      <c r="G36" s="10">
        <f>'Anne-6'!G36</f>
        <v>10028752</v>
      </c>
      <c r="H36" s="8">
        <f>'Anne-6'!S36+'Anne-7'!I36</f>
        <v>7879558</v>
      </c>
      <c r="I36" s="8">
        <f>'Anne-6'!I36</f>
        <v>9108542</v>
      </c>
      <c r="J36" s="8">
        <f>'Anne-7'!J36</f>
        <v>2893676</v>
      </c>
      <c r="K36" s="8">
        <f>'Anne-6'!N36</f>
        <v>5376543</v>
      </c>
      <c r="L36" s="9">
        <f>'Anne-6'!K36</f>
        <v>3778488</v>
      </c>
      <c r="M36" s="8">
        <f>'Anne-6'!V36</f>
        <v>0</v>
      </c>
      <c r="N36" s="35">
        <f>'Anne-6'!W36</f>
        <v>0</v>
      </c>
      <c r="O36" s="8">
        <f>'Anne-7'!L36</f>
        <v>934013</v>
      </c>
      <c r="P36" s="8">
        <f>'Anne-7'!K36</f>
        <v>0</v>
      </c>
      <c r="Q36" s="35"/>
      <c r="R36" s="35">
        <f t="shared" si="1"/>
        <v>39999572</v>
      </c>
      <c r="S36" s="36">
        <f>R36+F36</f>
        <v>42449599</v>
      </c>
      <c r="T36" s="141">
        <f t="shared" si="3"/>
        <v>0</v>
      </c>
    </row>
    <row r="37" spans="1:22" ht="15">
      <c r="A37" s="4">
        <v>28</v>
      </c>
      <c r="B37" s="3" t="s">
        <v>49</v>
      </c>
      <c r="C37" s="4"/>
      <c r="D37" s="70"/>
      <c r="E37" s="70">
        <f>'Anne-6'!E37+'Anne-7'!G37</f>
        <v>1045172</v>
      </c>
      <c r="F37" s="8">
        <f t="shared" si="2"/>
        <v>1045172</v>
      </c>
      <c r="G37" s="10">
        <f>'Anne-6'!G37</f>
        <v>4366132</v>
      </c>
      <c r="H37" s="8">
        <f>'Anne-6'!S37+'Anne-7'!I37</f>
        <v>6091998</v>
      </c>
      <c r="I37" s="8">
        <f>'Anne-6'!I37</f>
        <v>7113051</v>
      </c>
      <c r="J37" s="8">
        <f>'Anne-7'!J37</f>
        <v>3468667</v>
      </c>
      <c r="K37" s="8">
        <f>'Anne-6'!N37</f>
        <v>3355450</v>
      </c>
      <c r="L37" s="9">
        <f>'Anne-6'!K37</f>
        <v>1929080</v>
      </c>
      <c r="M37" s="8">
        <f>'Anne-6'!V37</f>
        <v>0</v>
      </c>
      <c r="N37" s="35">
        <f>'Anne-6'!W37</f>
        <v>0</v>
      </c>
      <c r="O37" s="8">
        <f>'Anne-7'!L37</f>
        <v>0</v>
      </c>
      <c r="P37" s="8">
        <f>'Anne-7'!K37</f>
        <v>0</v>
      </c>
      <c r="Q37" s="35">
        <f>'Anne-6'!X37</f>
        <v>2979460</v>
      </c>
      <c r="R37" s="35">
        <f t="shared" si="1"/>
        <v>29303838</v>
      </c>
      <c r="S37" s="36">
        <f>R37+F37</f>
        <v>30349010</v>
      </c>
      <c r="T37" s="141">
        <f t="shared" si="3"/>
        <v>0</v>
      </c>
      <c r="V37" s="23"/>
    </row>
    <row r="38" spans="1:20" s="97" customFormat="1" ht="15">
      <c r="A38" s="486"/>
      <c r="B38" s="471" t="s">
        <v>50</v>
      </c>
      <c r="C38" s="486">
        <v>5</v>
      </c>
      <c r="D38" s="70">
        <f aca="true" t="shared" si="5" ref="D38:S38">SUM(D35:D37)</f>
        <v>94716915</v>
      </c>
      <c r="E38" s="70">
        <f t="shared" si="5"/>
        <v>3495199</v>
      </c>
      <c r="F38" s="515">
        <f t="shared" si="5"/>
        <v>98212114</v>
      </c>
      <c r="G38" s="70">
        <f t="shared" si="5"/>
        <v>200839755</v>
      </c>
      <c r="H38" s="70">
        <f>SUM(H35:H37)</f>
        <v>117648911</v>
      </c>
      <c r="I38" s="70">
        <f t="shared" si="5"/>
        <v>162188296</v>
      </c>
      <c r="J38" s="70">
        <f t="shared" si="5"/>
        <v>63185062</v>
      </c>
      <c r="K38" s="70">
        <f>SUM(K35:K37)</f>
        <v>130217704</v>
      </c>
      <c r="L38" s="70">
        <f t="shared" si="5"/>
        <v>68444071</v>
      </c>
      <c r="M38" s="70">
        <f>SUM(M35:M37)</f>
        <v>33916364</v>
      </c>
      <c r="N38" s="70">
        <f>SUM(N35:N37)</f>
        <v>4233154</v>
      </c>
      <c r="O38" s="70">
        <f>SUM(O35:O37)</f>
        <v>9450027</v>
      </c>
      <c r="P38" s="70">
        <f>SUM(P35:P37)</f>
        <v>2023743</v>
      </c>
      <c r="Q38" s="70">
        <f t="shared" si="5"/>
        <v>2979460</v>
      </c>
      <c r="R38" s="70">
        <f t="shared" si="5"/>
        <v>795126547</v>
      </c>
      <c r="S38" s="70">
        <f t="shared" si="5"/>
        <v>893338661</v>
      </c>
      <c r="T38" s="487">
        <f t="shared" si="3"/>
        <v>10.602576507096897</v>
      </c>
    </row>
    <row r="39" spans="1:22" ht="14.25">
      <c r="A39" s="107" t="s">
        <v>51</v>
      </c>
      <c r="B39" s="108"/>
      <c r="C39" s="108"/>
      <c r="D39" s="139">
        <f>D38/$S$38*100</f>
        <v>10.602576507096897</v>
      </c>
      <c r="E39" s="139">
        <f aca="true" t="shared" si="6" ref="E39:J39">E38/$S$38*100</f>
        <v>0.3912512860562295</v>
      </c>
      <c r="F39" s="139">
        <f t="shared" si="6"/>
        <v>10.993827793153127</v>
      </c>
      <c r="G39" s="139">
        <f t="shared" si="6"/>
        <v>22.481928049008953</v>
      </c>
      <c r="H39" s="139">
        <f t="shared" si="6"/>
        <v>13.169575675623872</v>
      </c>
      <c r="I39" s="139">
        <f t="shared" si="6"/>
        <v>18.15529799398215</v>
      </c>
      <c r="J39" s="139">
        <f t="shared" si="6"/>
        <v>7.072912520014624</v>
      </c>
      <c r="K39" s="139">
        <f aca="true" t="shared" si="7" ref="K39:R39">K38/$S$38*100</f>
        <v>14.576521725169128</v>
      </c>
      <c r="L39" s="139">
        <f t="shared" si="7"/>
        <v>7.661604046486017</v>
      </c>
      <c r="M39" s="139">
        <f t="shared" si="7"/>
        <v>3.7965852683498715</v>
      </c>
      <c r="N39" s="139">
        <f t="shared" si="7"/>
        <v>0.473857696392701</v>
      </c>
      <c r="O39" s="139">
        <f t="shared" si="7"/>
        <v>1.057832534575597</v>
      </c>
      <c r="P39" s="139">
        <f t="shared" si="7"/>
        <v>0.22653704449940965</v>
      </c>
      <c r="Q39" s="139">
        <f t="shared" si="7"/>
        <v>0.3335196527445486</v>
      </c>
      <c r="R39" s="139">
        <f t="shared" si="7"/>
        <v>89.00617220684687</v>
      </c>
      <c r="S39" s="139">
        <f>S38/S38*100</f>
        <v>100</v>
      </c>
      <c r="T39" s="139"/>
      <c r="V39" s="23"/>
    </row>
    <row r="40" spans="1:20" ht="27.75" customHeight="1" hidden="1">
      <c r="A40" s="112"/>
      <c r="B40" s="115" t="s">
        <v>108</v>
      </c>
      <c r="C40" s="116"/>
      <c r="D40" s="113">
        <f>D35/S35</f>
        <v>0.11543240914216824</v>
      </c>
      <c r="E40" s="113">
        <f>E35/S35</f>
        <v>0</v>
      </c>
      <c r="F40" s="113">
        <f>F35/S35</f>
        <v>0.11543240914216824</v>
      </c>
      <c r="G40" s="113">
        <f>G35/S35</f>
        <v>0.22722214539748026</v>
      </c>
      <c r="H40" s="113"/>
      <c r="I40" s="113">
        <f>I35/S35</f>
        <v>0.17789101536752286</v>
      </c>
      <c r="J40" s="113"/>
      <c r="K40" s="113">
        <f>K35/S35</f>
        <v>0.14805579654995318</v>
      </c>
      <c r="L40" s="113">
        <f>L35/S35</f>
        <v>0.07645757552856176</v>
      </c>
      <c r="M40" s="113"/>
      <c r="N40" s="113"/>
      <c r="O40" s="113"/>
      <c r="P40" s="113"/>
      <c r="Q40" s="113">
        <f>Q35/S35</f>
        <v>0</v>
      </c>
      <c r="R40" s="113">
        <f>R35/S35</f>
        <v>0.8845675908578318</v>
      </c>
      <c r="S40" s="113">
        <f>S35/S35</f>
        <v>1</v>
      </c>
      <c r="T40" s="144"/>
    </row>
    <row r="41" spans="1:20" ht="14.25">
      <c r="A41" s="101"/>
      <c r="B41" s="117"/>
      <c r="C41" s="117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40"/>
    </row>
    <row r="42" spans="1:20" ht="14.25">
      <c r="A42" s="107" t="str">
        <f>'Anne-4'!A40</f>
        <v>Conn. As on 31.12.2013</v>
      </c>
      <c r="B42" s="108"/>
      <c r="C42" s="118">
        <v>5</v>
      </c>
      <c r="D42" s="8">
        <v>96292218</v>
      </c>
      <c r="E42" s="8">
        <v>3591561</v>
      </c>
      <c r="F42" s="526">
        <v>99883779</v>
      </c>
      <c r="G42" s="8">
        <v>198406537</v>
      </c>
      <c r="H42" s="8">
        <v>117242552</v>
      </c>
      <c r="I42" s="8">
        <v>160407964</v>
      </c>
      <c r="J42" s="8">
        <v>63267497</v>
      </c>
      <c r="K42" s="8">
        <v>128685043</v>
      </c>
      <c r="L42" s="8">
        <v>66911830</v>
      </c>
      <c r="M42" s="8">
        <v>32780881</v>
      </c>
      <c r="N42" s="8">
        <v>3969562</v>
      </c>
      <c r="O42" s="8">
        <v>9807039</v>
      </c>
      <c r="P42" s="8">
        <v>1957248</v>
      </c>
      <c r="Q42" s="8">
        <v>3007612</v>
      </c>
      <c r="R42" s="8">
        <v>786443765</v>
      </c>
      <c r="S42" s="8">
        <v>881077204</v>
      </c>
      <c r="T42" s="143">
        <f>(D42)/S42*100</f>
        <v>10.928919459366696</v>
      </c>
    </row>
    <row r="43" spans="1:22" ht="14.25">
      <c r="A43" s="107" t="str">
        <f>'Anne-4'!A41</f>
        <v>Addition during January 2014</v>
      </c>
      <c r="B43" s="108"/>
      <c r="C43" s="118">
        <v>13</v>
      </c>
      <c r="D43" s="8">
        <f aca="true" t="shared" si="8" ref="D43:S43">D38-D42</f>
        <v>-1575303</v>
      </c>
      <c r="E43" s="8">
        <f t="shared" si="8"/>
        <v>-96362</v>
      </c>
      <c r="F43" s="8">
        <f t="shared" si="8"/>
        <v>-1671665</v>
      </c>
      <c r="G43" s="8">
        <f t="shared" si="8"/>
        <v>2433218</v>
      </c>
      <c r="H43" s="8">
        <f t="shared" si="8"/>
        <v>406359</v>
      </c>
      <c r="I43" s="8">
        <f t="shared" si="8"/>
        <v>1780332</v>
      </c>
      <c r="J43" s="8">
        <f t="shared" si="8"/>
        <v>-82435</v>
      </c>
      <c r="K43" s="8">
        <f t="shared" si="8"/>
        <v>1532661</v>
      </c>
      <c r="L43" s="8">
        <f t="shared" si="8"/>
        <v>1532241</v>
      </c>
      <c r="M43" s="8">
        <f>M38-M42</f>
        <v>1135483</v>
      </c>
      <c r="N43" s="8">
        <f>N38-N42</f>
        <v>263592</v>
      </c>
      <c r="O43" s="8">
        <f>O38-O42</f>
        <v>-357012</v>
      </c>
      <c r="P43" s="8">
        <f>P38-P42</f>
        <v>66495</v>
      </c>
      <c r="Q43" s="8">
        <f t="shared" si="8"/>
        <v>-28152</v>
      </c>
      <c r="R43" s="8">
        <f t="shared" si="8"/>
        <v>8682782</v>
      </c>
      <c r="S43" s="8">
        <f t="shared" si="8"/>
        <v>12261457</v>
      </c>
      <c r="T43" s="476" t="s">
        <v>130</v>
      </c>
      <c r="V43" s="158">
        <f>T38-T42</f>
        <v>-0.32634295226979937</v>
      </c>
    </row>
    <row r="44" spans="1:22" ht="14.25">
      <c r="A44" s="107" t="str">
        <f>'Anne-4'!A42</f>
        <v>Conn. As on 31.03.2013</v>
      </c>
      <c r="B44" s="110"/>
      <c r="C44" s="4">
        <v>5</v>
      </c>
      <c r="D44" s="8">
        <v>101206625</v>
      </c>
      <c r="E44" s="8">
        <v>5000825</v>
      </c>
      <c r="F44" s="526">
        <v>106207450</v>
      </c>
      <c r="G44" s="8">
        <v>188196071</v>
      </c>
      <c r="H44" s="8">
        <v>122972717</v>
      </c>
      <c r="I44" s="8">
        <v>152353654</v>
      </c>
      <c r="J44" s="8">
        <v>66416138</v>
      </c>
      <c r="K44" s="8">
        <v>121607390</v>
      </c>
      <c r="L44" s="8">
        <v>60071967</v>
      </c>
      <c r="M44" s="8">
        <v>31683600</v>
      </c>
      <c r="N44" s="8">
        <v>2009474</v>
      </c>
      <c r="O44" s="8">
        <v>11912010</v>
      </c>
      <c r="P44" s="8">
        <v>1367658</v>
      </c>
      <c r="Q44" s="8">
        <v>2987976</v>
      </c>
      <c r="R44" s="8">
        <v>761578655</v>
      </c>
      <c r="S44" s="8">
        <v>867786105</v>
      </c>
      <c r="T44" s="145">
        <f>(D44)/S44*100</f>
        <v>11.662623360395935</v>
      </c>
      <c r="V44" s="158">
        <f>T38-T44</f>
        <v>-1.0600468532990384</v>
      </c>
    </row>
    <row r="45" spans="1:20" ht="14.25">
      <c r="A45" s="107" t="str">
        <f>'Anne-4'!A43</f>
        <v>Addition during 2013-14</v>
      </c>
      <c r="B45" s="108"/>
      <c r="C45" s="4">
        <v>13</v>
      </c>
      <c r="D45" s="8">
        <f>D38-D44</f>
        <v>-6489710</v>
      </c>
      <c r="E45" s="526">
        <f aca="true" t="shared" si="9" ref="E45:Q45">E38-E44</f>
        <v>-1505626</v>
      </c>
      <c r="F45" s="8">
        <f t="shared" si="9"/>
        <v>-7995336</v>
      </c>
      <c r="G45" s="8">
        <f t="shared" si="9"/>
        <v>12643684</v>
      </c>
      <c r="H45" s="8">
        <f t="shared" si="9"/>
        <v>-5323806</v>
      </c>
      <c r="I45" s="8">
        <f t="shared" si="9"/>
        <v>9834642</v>
      </c>
      <c r="J45" s="8">
        <f t="shared" si="9"/>
        <v>-3231076</v>
      </c>
      <c r="K45" s="8">
        <f t="shared" si="9"/>
        <v>8610314</v>
      </c>
      <c r="L45" s="8">
        <f t="shared" si="9"/>
        <v>8372104</v>
      </c>
      <c r="M45" s="8">
        <f>M38-M44</f>
        <v>2232764</v>
      </c>
      <c r="N45" s="8">
        <f>N38-N44</f>
        <v>2223680</v>
      </c>
      <c r="O45" s="8">
        <f>O38-O44</f>
        <v>-2461983</v>
      </c>
      <c r="P45" s="8">
        <f>P38-P44</f>
        <v>656085</v>
      </c>
      <c r="Q45" s="8">
        <f t="shared" si="9"/>
        <v>-8516</v>
      </c>
      <c r="R45" s="8">
        <f>R38-R44</f>
        <v>33547892</v>
      </c>
      <c r="S45" s="8">
        <f>S38-S44</f>
        <v>25552556</v>
      </c>
      <c r="T45" s="476" t="s">
        <v>130</v>
      </c>
    </row>
    <row r="46" spans="2:20" ht="15">
      <c r="B46" s="26"/>
      <c r="C46" s="26"/>
      <c r="S46" s="23"/>
      <c r="T46" s="23"/>
    </row>
    <row r="47" spans="1:20" ht="16.5" customHeight="1">
      <c r="A47" s="26"/>
      <c r="B47" s="580"/>
      <c r="C47" s="578"/>
      <c r="D47" s="578"/>
      <c r="E47" s="578"/>
      <c r="F47" s="578"/>
      <c r="G47" s="578"/>
      <c r="H47" s="26"/>
      <c r="I47" s="26"/>
      <c r="S47" s="23"/>
      <c r="T47" s="23"/>
    </row>
    <row r="48" spans="1:20" ht="16.5" customHeight="1">
      <c r="A48" s="26"/>
      <c r="B48" s="583"/>
      <c r="C48" s="583"/>
      <c r="D48" s="584">
        <f>D45/D44*100</f>
        <v>-6.412337137020427</v>
      </c>
      <c r="E48" s="578"/>
      <c r="F48" s="680"/>
      <c r="G48" s="680"/>
      <c r="H48" s="680"/>
      <c r="I48" s="74"/>
      <c r="K48" s="23"/>
      <c r="S48" s="319">
        <f>S45/S44*100</f>
        <v>2.944568465981603</v>
      </c>
      <c r="T48" s="23"/>
    </row>
    <row r="49" spans="1:19" ht="20.25">
      <c r="A49" s="26"/>
      <c r="B49" s="583"/>
      <c r="C49" s="583"/>
      <c r="D49" s="583"/>
      <c r="E49" s="578"/>
      <c r="F49" s="680"/>
      <c r="G49" s="680"/>
      <c r="H49" s="680"/>
      <c r="I49" s="74"/>
      <c r="S49" s="23"/>
    </row>
    <row r="50" spans="1:19" ht="23.25" customHeight="1">
      <c r="A50" s="26"/>
      <c r="B50" s="578"/>
      <c r="C50" s="578"/>
      <c r="D50" s="579"/>
      <c r="E50" s="578"/>
      <c r="F50" s="578"/>
      <c r="G50" s="578"/>
      <c r="H50" s="578"/>
      <c r="I50" s="26"/>
      <c r="S50" s="23">
        <f>S11+S23</f>
        <v>24532024</v>
      </c>
    </row>
    <row r="51" spans="1:19" ht="22.5" customHeight="1">
      <c r="A51" s="26"/>
      <c r="B51" s="578"/>
      <c r="C51" s="578"/>
      <c r="D51" s="579"/>
      <c r="E51" s="578"/>
      <c r="F51" s="578"/>
      <c r="G51" s="578"/>
      <c r="H51" s="578"/>
      <c r="I51" s="26"/>
      <c r="S51" s="23"/>
    </row>
    <row r="52" spans="1:19" ht="24" customHeight="1">
      <c r="A52" s="26"/>
      <c r="B52" s="578"/>
      <c r="C52" s="578"/>
      <c r="D52" s="579"/>
      <c r="E52" s="579"/>
      <c r="F52" s="578"/>
      <c r="G52" s="578"/>
      <c r="H52" s="578"/>
      <c r="I52" s="26"/>
      <c r="S52" s="23"/>
    </row>
    <row r="53" spans="1:18" ht="25.5" customHeight="1">
      <c r="A53" s="26"/>
      <c r="B53" s="578"/>
      <c r="C53" s="578"/>
      <c r="D53" s="578"/>
      <c r="E53" s="578"/>
      <c r="F53" s="578"/>
      <c r="G53" s="578"/>
      <c r="H53" s="578"/>
      <c r="I53" s="26"/>
      <c r="R53" s="23"/>
    </row>
    <row r="54" spans="1:9" ht="20.25">
      <c r="A54" s="26"/>
      <c r="B54" s="578"/>
      <c r="C54" s="578"/>
      <c r="D54" s="578"/>
      <c r="E54" s="578"/>
      <c r="F54" s="578"/>
      <c r="G54" s="578"/>
      <c r="H54" s="578"/>
      <c r="I54" s="26"/>
    </row>
    <row r="55" spans="1:8" ht="15">
      <c r="A55" s="26"/>
      <c r="B55" s="26"/>
      <c r="C55" s="26"/>
      <c r="D55" s="26"/>
      <c r="E55" s="26"/>
      <c r="F55" s="26"/>
      <c r="G55" s="26"/>
      <c r="H55" s="26"/>
    </row>
    <row r="57" spans="1:2" ht="15">
      <c r="A57" s="76"/>
      <c r="B57" s="76"/>
    </row>
  </sheetData>
  <sheetProtection/>
  <mergeCells count="23">
    <mergeCell ref="F48:F49"/>
    <mergeCell ref="G48:G49"/>
    <mergeCell ref="H48:H49"/>
    <mergeCell ref="T6:T8"/>
    <mergeCell ref="M7:M8"/>
    <mergeCell ref="R6:R8"/>
    <mergeCell ref="O7:O8"/>
    <mergeCell ref="S6:S8"/>
    <mergeCell ref="Q7:Q8"/>
    <mergeCell ref="J7:J8"/>
    <mergeCell ref="P7:P8"/>
    <mergeCell ref="I7:I8"/>
    <mergeCell ref="G7:G8"/>
    <mergeCell ref="K7:K8"/>
    <mergeCell ref="L7:L8"/>
    <mergeCell ref="N7:N8"/>
    <mergeCell ref="H7:H8"/>
    <mergeCell ref="F7:F8"/>
    <mergeCell ref="E7:E8"/>
    <mergeCell ref="A6:A8"/>
    <mergeCell ref="B6:B8"/>
    <mergeCell ref="C7:C8"/>
    <mergeCell ref="D7:D8"/>
  </mergeCells>
  <conditionalFormatting sqref="T10:T38">
    <cfRule type="top10" priority="4" dxfId="1" stopIfTrue="1" rank="5"/>
  </conditionalFormatting>
  <conditionalFormatting sqref="T10:T38">
    <cfRule type="top10" priority="2" dxfId="1" stopIfTrue="1" rank="5" bottom="1"/>
    <cfRule type="top10" priority="3" dxfId="0" stopIfTrue="1" rank="5"/>
  </conditionalFormatting>
  <conditionalFormatting sqref="T42 T10:T38">
    <cfRule type="top10" priority="5" dxfId="1" stopIfTrue="1" rank="5" bottom="1"/>
    <cfRule type="top10" priority="6" dxfId="0" stopIfTrue="1" rank="5" percent="1"/>
    <cfRule type="top10" priority="7" dxfId="1" stopIfTrue="1" rank="5" bottom="1"/>
    <cfRule type="top10" priority="8" dxfId="0" stopIfTrue="1" rank="5"/>
  </conditionalFormatting>
  <printOptions horizontalCentered="1" verticalCentered="1"/>
  <pageMargins left="0.1968503937007874" right="0" top="0.6299212598425197" bottom="0.2362204724409449" header="0.5118110236220472" footer="0.5118110236220472"/>
  <pageSetup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54"/>
  <sheetViews>
    <sheetView workbookViewId="0" topLeftCell="A1">
      <pane xSplit="3" ySplit="8" topLeftCell="D2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I3" sqref="I3"/>
    </sheetView>
  </sheetViews>
  <sheetFormatPr defaultColWidth="9.140625" defaultRowHeight="12.75"/>
  <cols>
    <col min="1" max="1" width="6.140625" style="2" customWidth="1"/>
    <col min="2" max="2" width="17.7109375" style="2" customWidth="1"/>
    <col min="3" max="3" width="5.7109375" style="2" customWidth="1"/>
    <col min="4" max="4" width="11.7109375" style="2" customWidth="1"/>
    <col min="5" max="5" width="10.140625" style="2" customWidth="1"/>
    <col min="6" max="7" width="12.7109375" style="2" customWidth="1"/>
    <col min="8" max="8" width="13.28125" style="2" hidden="1" customWidth="1"/>
    <col min="9" max="9" width="12.7109375" style="2" customWidth="1"/>
    <col min="10" max="10" width="13.421875" style="2" hidden="1" customWidth="1"/>
    <col min="11" max="11" width="11.8515625" style="2" customWidth="1"/>
    <col min="12" max="12" width="11.8515625" style="2" hidden="1" customWidth="1"/>
    <col min="13" max="13" width="11.57421875" style="2" hidden="1" customWidth="1"/>
    <col min="14" max="14" width="13.00390625" style="2" customWidth="1"/>
    <col min="15" max="17" width="12.140625" style="2" hidden="1" customWidth="1"/>
    <col min="18" max="18" width="11.57421875" style="2" hidden="1" customWidth="1"/>
    <col min="19" max="19" width="11.8515625" style="2" customWidth="1"/>
    <col min="20" max="20" width="12.28125" style="2" hidden="1" customWidth="1"/>
    <col min="21" max="21" width="24.57421875" style="2" hidden="1" customWidth="1"/>
    <col min="22" max="22" width="12.7109375" style="2" customWidth="1"/>
    <col min="23" max="23" width="10.8515625" style="2" customWidth="1"/>
    <col min="24" max="24" width="10.00390625" style="2" customWidth="1"/>
    <col min="25" max="25" width="12.7109375" style="2" customWidth="1"/>
    <col min="26" max="26" width="13.00390625" style="2" customWidth="1"/>
    <col min="27" max="27" width="10.57421875" style="2" customWidth="1"/>
    <col min="28" max="28" width="11.7109375" style="2" customWidth="1"/>
    <col min="29" max="29" width="13.421875" style="2" customWidth="1"/>
    <col min="30" max="30" width="13.8515625" style="2" customWidth="1"/>
    <col min="31" max="31" width="13.140625" style="2" customWidth="1"/>
    <col min="32" max="32" width="15.8515625" style="2" customWidth="1"/>
    <col min="33" max="33" width="14.140625" style="2" customWidth="1"/>
    <col min="34" max="34" width="11.28125" style="2" customWidth="1"/>
    <col min="35" max="35" width="15.57421875" style="2" customWidth="1"/>
    <col min="36" max="36" width="12.421875" style="2" bestFit="1" customWidth="1"/>
    <col min="37" max="37" width="11.28125" style="2" customWidth="1"/>
    <col min="38" max="16384" width="9.140625" style="2" customWidth="1"/>
  </cols>
  <sheetData>
    <row r="1" spans="5:26" ht="15">
      <c r="E1" s="14"/>
      <c r="Z1" s="76" t="s">
        <v>112</v>
      </c>
    </row>
    <row r="2" ht="14.25">
      <c r="B2" s="2" t="str">
        <f>'Anne-5'!B2</f>
        <v>No. 1-2(1)/Market Share/2013-CP&amp;M </v>
      </c>
    </row>
    <row r="3" ht="14.25"/>
    <row r="4" spans="2:3" ht="15">
      <c r="B4" s="76" t="s">
        <v>278</v>
      </c>
      <c r="C4" s="76"/>
    </row>
    <row r="5" spans="4:24" ht="14.25">
      <c r="D5" s="90">
        <v>1</v>
      </c>
      <c r="E5" s="90">
        <v>2</v>
      </c>
      <c r="F5" s="90"/>
      <c r="G5" s="90">
        <v>3</v>
      </c>
      <c r="H5" s="90"/>
      <c r="I5" s="90">
        <v>4</v>
      </c>
      <c r="J5" s="90"/>
      <c r="K5" s="90">
        <v>5</v>
      </c>
      <c r="L5" s="90"/>
      <c r="M5" s="90"/>
      <c r="N5" s="90">
        <v>6</v>
      </c>
      <c r="O5" s="90"/>
      <c r="P5" s="90"/>
      <c r="Q5" s="90"/>
      <c r="R5" s="90"/>
      <c r="S5" s="90">
        <v>7</v>
      </c>
      <c r="T5" s="90"/>
      <c r="U5" s="90"/>
      <c r="V5" s="90">
        <v>8</v>
      </c>
      <c r="W5" s="90">
        <v>9</v>
      </c>
      <c r="X5" s="90">
        <v>10</v>
      </c>
    </row>
    <row r="6" spans="1:30" ht="15">
      <c r="A6" s="608" t="s">
        <v>19</v>
      </c>
      <c r="B6" s="608" t="s">
        <v>20</v>
      </c>
      <c r="C6" s="45"/>
      <c r="D6" s="13" t="s">
        <v>0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3"/>
      <c r="W6" s="3"/>
      <c r="X6" s="13"/>
      <c r="Y6" s="695" t="s">
        <v>53</v>
      </c>
      <c r="Z6" s="687" t="s">
        <v>70</v>
      </c>
      <c r="AA6" s="700" t="s">
        <v>120</v>
      </c>
      <c r="AB6" s="698" t="s">
        <v>99</v>
      </c>
      <c r="AC6" s="698"/>
      <c r="AD6" s="698"/>
    </row>
    <row r="7" spans="1:30" s="41" customFormat="1" ht="15.75" customHeight="1">
      <c r="A7" s="608"/>
      <c r="B7" s="608"/>
      <c r="C7" s="600" t="s">
        <v>118</v>
      </c>
      <c r="D7" s="697" t="s">
        <v>1</v>
      </c>
      <c r="E7" s="694" t="s">
        <v>2</v>
      </c>
      <c r="F7" s="695" t="s">
        <v>52</v>
      </c>
      <c r="G7" s="687" t="s">
        <v>54</v>
      </c>
      <c r="H7" s="423" t="s">
        <v>3</v>
      </c>
      <c r="I7" s="687" t="s">
        <v>110</v>
      </c>
      <c r="J7" s="424"/>
      <c r="K7" s="687" t="s">
        <v>55</v>
      </c>
      <c r="L7" s="424" t="s">
        <v>10</v>
      </c>
      <c r="M7" s="689" t="s">
        <v>14</v>
      </c>
      <c r="N7" s="687" t="s">
        <v>56</v>
      </c>
      <c r="O7" s="691" t="s">
        <v>11</v>
      </c>
      <c r="P7" s="692"/>
      <c r="Q7" s="692"/>
      <c r="R7" s="693"/>
      <c r="S7" s="687" t="s">
        <v>117</v>
      </c>
      <c r="T7" s="689" t="s">
        <v>13</v>
      </c>
      <c r="U7" s="689" t="s">
        <v>8</v>
      </c>
      <c r="V7" s="690" t="s">
        <v>136</v>
      </c>
      <c r="W7" s="690" t="s">
        <v>146</v>
      </c>
      <c r="X7" s="687" t="s">
        <v>200</v>
      </c>
      <c r="Y7" s="699"/>
      <c r="Z7" s="699"/>
      <c r="AA7" s="701"/>
      <c r="AB7" s="698"/>
      <c r="AC7" s="698"/>
      <c r="AD7" s="698"/>
    </row>
    <row r="8" spans="1:32" s="41" customFormat="1" ht="30.75" customHeight="1">
      <c r="A8" s="608"/>
      <c r="B8" s="608"/>
      <c r="C8" s="601"/>
      <c r="D8" s="697"/>
      <c r="E8" s="694"/>
      <c r="F8" s="696"/>
      <c r="G8" s="688"/>
      <c r="H8" s="75" t="s">
        <v>75</v>
      </c>
      <c r="I8" s="688"/>
      <c r="J8" s="422" t="s">
        <v>107</v>
      </c>
      <c r="K8" s="688"/>
      <c r="L8" s="425" t="s">
        <v>4</v>
      </c>
      <c r="M8" s="687"/>
      <c r="N8" s="688"/>
      <c r="O8" s="425"/>
      <c r="P8" s="422" t="s">
        <v>12</v>
      </c>
      <c r="Q8" s="422" t="s">
        <v>7</v>
      </c>
      <c r="R8" s="422" t="s">
        <v>9</v>
      </c>
      <c r="S8" s="688"/>
      <c r="T8" s="687"/>
      <c r="U8" s="687"/>
      <c r="V8" s="690"/>
      <c r="W8" s="690"/>
      <c r="X8" s="688"/>
      <c r="Y8" s="696"/>
      <c r="Z8" s="696"/>
      <c r="AA8" s="702"/>
      <c r="AB8" s="52" t="s">
        <v>47</v>
      </c>
      <c r="AC8" s="45" t="s">
        <v>87</v>
      </c>
      <c r="AD8" s="45" t="s">
        <v>88</v>
      </c>
      <c r="AE8" s="41" t="s">
        <v>122</v>
      </c>
      <c r="AF8" s="426" t="s">
        <v>116</v>
      </c>
    </row>
    <row r="9" spans="1:33" ht="30.75" customHeight="1">
      <c r="A9" s="5">
        <v>1</v>
      </c>
      <c r="B9" s="6" t="s">
        <v>21</v>
      </c>
      <c r="C9" s="6"/>
      <c r="D9" s="25"/>
      <c r="E9" s="10"/>
      <c r="F9" s="8">
        <f>D9+E9</f>
        <v>0</v>
      </c>
      <c r="G9" s="10">
        <f>H9</f>
        <v>0</v>
      </c>
      <c r="H9" s="30"/>
      <c r="I9" s="8"/>
      <c r="J9" s="8"/>
      <c r="K9" s="9"/>
      <c r="L9" s="8"/>
      <c r="M9" s="9"/>
      <c r="N9" s="8"/>
      <c r="O9" s="70"/>
      <c r="P9" s="70"/>
      <c r="Q9" s="70"/>
      <c r="R9" s="206"/>
      <c r="S9" s="70">
        <f>T9+U9</f>
        <v>0</v>
      </c>
      <c r="T9" s="206"/>
      <c r="U9" s="206"/>
      <c r="V9" s="8"/>
      <c r="W9" s="8"/>
      <c r="X9" s="8"/>
      <c r="Y9" s="35">
        <f aca="true" t="shared" si="0" ref="Y9:Y34">G9+I9+K9+N9+S9+V9+W9+X9</f>
        <v>0</v>
      </c>
      <c r="Z9" s="36">
        <f aca="true" t="shared" si="1" ref="Z9:Z34">Y9+F9</f>
        <v>0</v>
      </c>
      <c r="AA9" s="55"/>
      <c r="AB9" s="46">
        <f>AC9+AD9</f>
        <v>216418</v>
      </c>
      <c r="AC9" s="38">
        <f>AF9-AD9</f>
        <v>125355</v>
      </c>
      <c r="AD9" s="38">
        <v>91063</v>
      </c>
      <c r="AF9" s="100">
        <v>216418</v>
      </c>
      <c r="AG9" s="2">
        <v>105270</v>
      </c>
    </row>
    <row r="10" spans="1:36" ht="13.5" customHeight="1">
      <c r="A10" s="5">
        <v>2</v>
      </c>
      <c r="B10" s="6" t="s">
        <v>22</v>
      </c>
      <c r="C10" s="85">
        <v>3</v>
      </c>
      <c r="D10" s="70">
        <f>AB10</f>
        <v>9710503</v>
      </c>
      <c r="E10" s="8"/>
      <c r="F10" s="8">
        <f>D10+E10</f>
        <v>9710503</v>
      </c>
      <c r="G10" s="207">
        <f aca="true" t="shared" si="2" ref="G10:G37">H10</f>
        <v>19700602</v>
      </c>
      <c r="H10" s="514">
        <v>19700602</v>
      </c>
      <c r="I10" s="8">
        <f>J10</f>
        <v>6150608</v>
      </c>
      <c r="J10" s="514">
        <v>6150608</v>
      </c>
      <c r="K10" s="8">
        <f>L10+M10</f>
        <v>1940154</v>
      </c>
      <c r="L10" s="514">
        <v>1940154</v>
      </c>
      <c r="M10" s="8"/>
      <c r="N10" s="84">
        <f aca="true" t="shared" si="3" ref="N10:N18">O10+P10+Q10</f>
        <v>12038573</v>
      </c>
      <c r="O10" s="70"/>
      <c r="P10" s="514">
        <v>12038573</v>
      </c>
      <c r="Q10" s="70"/>
      <c r="R10" s="70"/>
      <c r="S10" s="70">
        <f aca="true" t="shared" si="4" ref="S10:S37">T10+U10</f>
        <v>0</v>
      </c>
      <c r="T10" s="70">
        <v>0</v>
      </c>
      <c r="U10" s="70"/>
      <c r="V10" s="8">
        <v>4378406</v>
      </c>
      <c r="W10" s="8"/>
      <c r="X10" s="8"/>
      <c r="Y10" s="35">
        <f t="shared" si="0"/>
        <v>44208343</v>
      </c>
      <c r="Z10" s="36">
        <f t="shared" si="1"/>
        <v>53918846</v>
      </c>
      <c r="AA10" s="143">
        <f>(D10)/Z10*100</f>
        <v>18.0094785411394</v>
      </c>
      <c r="AB10" s="46">
        <f aca="true" t="shared" si="5" ref="AB10:AB34">AC10+AD10</f>
        <v>9710503</v>
      </c>
      <c r="AC10" s="38">
        <f aca="true" t="shared" si="6" ref="AC10:AC34">AF10-AD10</f>
        <v>4425061</v>
      </c>
      <c r="AD10" s="38">
        <v>5285442</v>
      </c>
      <c r="AF10" s="159">
        <v>9710503</v>
      </c>
      <c r="AG10" s="2">
        <v>4078007</v>
      </c>
      <c r="AI10" s="2">
        <v>7694250</v>
      </c>
      <c r="AJ10" s="23">
        <f aca="true" t="shared" si="7" ref="AJ10:AJ34">AI10-S10</f>
        <v>7694250</v>
      </c>
    </row>
    <row r="11" spans="1:36" ht="16.5" customHeight="1">
      <c r="A11" s="5">
        <v>3</v>
      </c>
      <c r="B11" s="6" t="s">
        <v>23</v>
      </c>
      <c r="C11" s="85">
        <v>5</v>
      </c>
      <c r="D11" s="70">
        <f>AB11</f>
        <v>1157925</v>
      </c>
      <c r="E11" s="8"/>
      <c r="F11" s="8">
        <f aca="true" t="shared" si="8" ref="F11:F37">D11+E11</f>
        <v>1157925</v>
      </c>
      <c r="G11" s="207">
        <f t="shared" si="2"/>
        <v>4394850</v>
      </c>
      <c r="H11" s="514">
        <v>4394850</v>
      </c>
      <c r="I11" s="84">
        <f>J11</f>
        <v>2728862</v>
      </c>
      <c r="J11" s="514">
        <v>2728862</v>
      </c>
      <c r="K11" s="84">
        <f aca="true" t="shared" si="9" ref="K11:K38">L11+M11</f>
        <v>3706030</v>
      </c>
      <c r="L11" s="3"/>
      <c r="M11" s="514">
        <v>3706030</v>
      </c>
      <c r="N11" s="8">
        <f t="shared" si="3"/>
        <v>547494</v>
      </c>
      <c r="O11" s="70"/>
      <c r="P11" s="514">
        <v>547494</v>
      </c>
      <c r="Q11" s="70"/>
      <c r="R11" s="70"/>
      <c r="S11" s="93">
        <f>T11+U11</f>
        <v>2579770</v>
      </c>
      <c r="T11" s="514">
        <v>2579770</v>
      </c>
      <c r="U11" s="70"/>
      <c r="V11" s="8"/>
      <c r="W11" s="8"/>
      <c r="X11" s="8"/>
      <c r="Y11" s="35">
        <f t="shared" si="0"/>
        <v>13957006</v>
      </c>
      <c r="Z11" s="36">
        <f t="shared" si="1"/>
        <v>15114931</v>
      </c>
      <c r="AA11" s="143">
        <f>(D11)/Z11*100</f>
        <v>7.660802421129147</v>
      </c>
      <c r="AB11" s="46">
        <f t="shared" si="5"/>
        <v>1157925</v>
      </c>
      <c r="AC11" s="38">
        <f t="shared" si="6"/>
        <v>837207</v>
      </c>
      <c r="AD11" s="38">
        <v>320718</v>
      </c>
      <c r="AF11" s="159">
        <v>1157925</v>
      </c>
      <c r="AG11" s="2">
        <v>1009899</v>
      </c>
      <c r="AI11" s="2">
        <v>1880216</v>
      </c>
      <c r="AJ11" s="23">
        <f t="shared" si="7"/>
        <v>-699554</v>
      </c>
    </row>
    <row r="12" spans="1:36" ht="15">
      <c r="A12" s="5">
        <v>4</v>
      </c>
      <c r="B12" s="6" t="s">
        <v>24</v>
      </c>
      <c r="C12" s="85">
        <v>7</v>
      </c>
      <c r="D12" s="70">
        <f>AB12+AB18</f>
        <v>2972643</v>
      </c>
      <c r="E12" s="8"/>
      <c r="F12" s="8">
        <f t="shared" si="8"/>
        <v>2972643</v>
      </c>
      <c r="G12" s="207">
        <f t="shared" si="2"/>
        <v>21485973</v>
      </c>
      <c r="H12" s="514">
        <v>21485973</v>
      </c>
      <c r="I12" s="84">
        <f aca="true" t="shared" si="10" ref="I12:I37">J12</f>
        <v>7113337</v>
      </c>
      <c r="J12" s="514">
        <v>7113337</v>
      </c>
      <c r="K12" s="84">
        <f t="shared" si="9"/>
        <v>5177910</v>
      </c>
      <c r="L12" s="3"/>
      <c r="M12" s="514">
        <v>5177910</v>
      </c>
      <c r="N12" s="84">
        <f t="shared" si="3"/>
        <v>6277988</v>
      </c>
      <c r="O12" s="70"/>
      <c r="P12" s="3"/>
      <c r="Q12" s="514">
        <v>6277988</v>
      </c>
      <c r="R12" s="70"/>
      <c r="S12" s="93">
        <f>T12+U12</f>
        <v>5891232</v>
      </c>
      <c r="T12" s="516">
        <v>5891232</v>
      </c>
      <c r="U12" s="70"/>
      <c r="V12" s="84">
        <v>4792525</v>
      </c>
      <c r="W12" s="8"/>
      <c r="X12" s="8"/>
      <c r="Y12" s="35">
        <f t="shared" si="0"/>
        <v>50738965</v>
      </c>
      <c r="Z12" s="36">
        <f t="shared" si="1"/>
        <v>53711608</v>
      </c>
      <c r="AA12" s="143">
        <f>(D12)/Z12*100</f>
        <v>5.5344516961771095</v>
      </c>
      <c r="AB12" s="46">
        <f t="shared" si="5"/>
        <v>2087358</v>
      </c>
      <c r="AC12" s="38">
        <f t="shared" si="6"/>
        <v>1299530</v>
      </c>
      <c r="AD12" s="38">
        <v>787828</v>
      </c>
      <c r="AF12" s="159">
        <v>2087358</v>
      </c>
      <c r="AG12" s="2">
        <v>3092531</v>
      </c>
      <c r="AI12" s="2">
        <v>7175844</v>
      </c>
      <c r="AJ12" s="23">
        <f t="shared" si="7"/>
        <v>1284612</v>
      </c>
    </row>
    <row r="13" spans="1:36" ht="14.25">
      <c r="A13" s="5">
        <v>5</v>
      </c>
      <c r="B13" s="6" t="s">
        <v>25</v>
      </c>
      <c r="C13" s="85"/>
      <c r="D13" s="70"/>
      <c r="E13" s="8"/>
      <c r="F13" s="8">
        <f t="shared" si="8"/>
        <v>0</v>
      </c>
      <c r="G13" s="10">
        <f t="shared" si="2"/>
        <v>0</v>
      </c>
      <c r="H13" s="514"/>
      <c r="I13" s="8">
        <f t="shared" si="10"/>
        <v>0</v>
      </c>
      <c r="J13" s="514"/>
      <c r="K13" s="8">
        <f t="shared" si="9"/>
        <v>0</v>
      </c>
      <c r="L13" s="3"/>
      <c r="M13" s="3"/>
      <c r="N13" s="8">
        <f t="shared" si="3"/>
        <v>0</v>
      </c>
      <c r="O13" s="70"/>
      <c r="P13" s="3"/>
      <c r="Q13" s="70"/>
      <c r="R13" s="70"/>
      <c r="S13" s="70">
        <f t="shared" si="4"/>
        <v>0</v>
      </c>
      <c r="T13" s="70">
        <v>0</v>
      </c>
      <c r="U13" s="70"/>
      <c r="V13" s="8"/>
      <c r="W13" s="8"/>
      <c r="X13" s="8"/>
      <c r="Y13" s="35">
        <f t="shared" si="0"/>
        <v>0</v>
      </c>
      <c r="Z13" s="36">
        <f t="shared" si="1"/>
        <v>0</v>
      </c>
      <c r="AA13" s="143"/>
      <c r="AB13" s="46">
        <f t="shared" si="5"/>
        <v>1742306</v>
      </c>
      <c r="AC13" s="38">
        <f t="shared" si="6"/>
        <v>1130463</v>
      </c>
      <c r="AD13" s="38">
        <v>611843</v>
      </c>
      <c r="AF13" s="100">
        <v>1742306</v>
      </c>
      <c r="AG13" s="2">
        <v>885595</v>
      </c>
      <c r="AJ13" s="23">
        <f t="shared" si="7"/>
        <v>0</v>
      </c>
    </row>
    <row r="14" spans="1:36" ht="15">
      <c r="A14" s="5">
        <v>6</v>
      </c>
      <c r="B14" s="6" t="s">
        <v>26</v>
      </c>
      <c r="C14" s="85">
        <v>5</v>
      </c>
      <c r="D14" s="70">
        <f>AB14</f>
        <v>4317163</v>
      </c>
      <c r="E14" s="8"/>
      <c r="F14" s="8">
        <f t="shared" si="8"/>
        <v>4317163</v>
      </c>
      <c r="G14" s="207">
        <f t="shared" si="2"/>
        <v>7237646</v>
      </c>
      <c r="H14" s="514">
        <v>7237646</v>
      </c>
      <c r="I14" s="84">
        <f t="shared" si="10"/>
        <v>17046975</v>
      </c>
      <c r="J14" s="514">
        <v>17046975</v>
      </c>
      <c r="K14" s="8">
        <f t="shared" si="9"/>
        <v>30773</v>
      </c>
      <c r="L14" s="514">
        <v>30773</v>
      </c>
      <c r="M14" s="3"/>
      <c r="N14" s="84">
        <f t="shared" si="3"/>
        <v>8938782</v>
      </c>
      <c r="O14" s="70"/>
      <c r="P14" s="514">
        <v>8938782</v>
      </c>
      <c r="Q14" s="70"/>
      <c r="R14" s="70"/>
      <c r="S14" s="70">
        <f t="shared" si="4"/>
        <v>0</v>
      </c>
      <c r="T14" s="70">
        <v>0</v>
      </c>
      <c r="U14" s="70"/>
      <c r="V14" s="84">
        <v>5122178</v>
      </c>
      <c r="W14" s="8">
        <v>1375776</v>
      </c>
      <c r="X14" s="8"/>
      <c r="Y14" s="35">
        <f t="shared" si="0"/>
        <v>39752130</v>
      </c>
      <c r="Z14" s="36">
        <f t="shared" si="1"/>
        <v>44069293</v>
      </c>
      <c r="AA14" s="143">
        <f>(D14)/Z14*100</f>
        <v>9.796306466727298</v>
      </c>
      <c r="AB14" s="46">
        <f t="shared" si="5"/>
        <v>4317163</v>
      </c>
      <c r="AC14" s="38">
        <f t="shared" si="6"/>
        <v>2806163</v>
      </c>
      <c r="AD14" s="38">
        <v>1511000</v>
      </c>
      <c r="AF14" s="159">
        <v>4317163</v>
      </c>
      <c r="AG14" s="2">
        <v>2777067</v>
      </c>
      <c r="AI14" s="2">
        <v>6216728</v>
      </c>
      <c r="AJ14" s="23">
        <f t="shared" si="7"/>
        <v>6216728</v>
      </c>
    </row>
    <row r="15" spans="1:36" ht="15">
      <c r="A15" s="5">
        <v>7</v>
      </c>
      <c r="B15" s="6" t="s">
        <v>27</v>
      </c>
      <c r="C15" s="85">
        <v>3</v>
      </c>
      <c r="D15" s="70">
        <f>AB15</f>
        <v>3240005</v>
      </c>
      <c r="E15" s="8"/>
      <c r="F15" s="8">
        <f t="shared" si="8"/>
        <v>3240005</v>
      </c>
      <c r="G15" s="10">
        <f t="shared" si="2"/>
        <v>2368740</v>
      </c>
      <c r="H15" s="514">
        <v>2368740</v>
      </c>
      <c r="I15" s="84">
        <f t="shared" si="10"/>
        <v>4808021</v>
      </c>
      <c r="J15" s="514">
        <v>4808021</v>
      </c>
      <c r="K15" s="8">
        <f t="shared" si="9"/>
        <v>11092</v>
      </c>
      <c r="L15" s="514">
        <v>11092</v>
      </c>
      <c r="M15" s="3"/>
      <c r="N15" s="84">
        <f t="shared" si="3"/>
        <v>4061249</v>
      </c>
      <c r="O15" s="70"/>
      <c r="P15" s="514">
        <v>4061249</v>
      </c>
      <c r="Q15" s="70"/>
      <c r="R15" s="70"/>
      <c r="S15" s="70">
        <f t="shared" si="4"/>
        <v>0</v>
      </c>
      <c r="T15" s="70">
        <v>0</v>
      </c>
      <c r="U15" s="70"/>
      <c r="V15" s="8"/>
      <c r="W15" s="8">
        <v>1385674</v>
      </c>
      <c r="X15" s="8"/>
      <c r="Y15" s="35">
        <f t="shared" si="0"/>
        <v>12634776</v>
      </c>
      <c r="Z15" s="36">
        <f t="shared" si="1"/>
        <v>15874781</v>
      </c>
      <c r="AA15" s="143">
        <f>(D15)/Z15*100</f>
        <v>20.40976187325041</v>
      </c>
      <c r="AB15" s="46">
        <f t="shared" si="5"/>
        <v>3240005</v>
      </c>
      <c r="AC15" s="38">
        <f t="shared" si="6"/>
        <v>1672680</v>
      </c>
      <c r="AD15" s="38">
        <v>1567325</v>
      </c>
      <c r="AF15" s="159">
        <v>3240005</v>
      </c>
      <c r="AG15" s="2">
        <v>2286362</v>
      </c>
      <c r="AH15" s="23"/>
      <c r="AI15" s="23">
        <v>2721227</v>
      </c>
      <c r="AJ15" s="23">
        <f t="shared" si="7"/>
        <v>2721227</v>
      </c>
    </row>
    <row r="16" spans="1:36" ht="15">
      <c r="A16" s="5">
        <v>8</v>
      </c>
      <c r="B16" s="6" t="s">
        <v>81</v>
      </c>
      <c r="C16" s="85">
        <v>3</v>
      </c>
      <c r="D16" s="70">
        <f>AB16</f>
        <v>1475697</v>
      </c>
      <c r="E16" s="8"/>
      <c r="F16" s="8">
        <f t="shared" si="8"/>
        <v>1475697</v>
      </c>
      <c r="G16" s="207">
        <f t="shared" si="2"/>
        <v>2155419</v>
      </c>
      <c r="H16" s="514">
        <v>2155419</v>
      </c>
      <c r="I16" s="8">
        <f t="shared" si="10"/>
        <v>527782</v>
      </c>
      <c r="J16" s="514">
        <v>527782</v>
      </c>
      <c r="K16" s="8">
        <f t="shared" si="9"/>
        <v>784007</v>
      </c>
      <c r="L16" s="3"/>
      <c r="M16" s="514">
        <v>784007</v>
      </c>
      <c r="N16" s="8">
        <f t="shared" si="3"/>
        <v>512266</v>
      </c>
      <c r="O16" s="70"/>
      <c r="P16" s="514">
        <v>512266</v>
      </c>
      <c r="Q16" s="70"/>
      <c r="R16" s="70"/>
      <c r="S16" s="93">
        <f>T16+U16</f>
        <v>1516446</v>
      </c>
      <c r="T16" s="514">
        <v>1516446</v>
      </c>
      <c r="U16" s="70"/>
      <c r="V16" s="8"/>
      <c r="W16" s="8"/>
      <c r="X16" s="8"/>
      <c r="Y16" s="35">
        <f t="shared" si="0"/>
        <v>5495920</v>
      </c>
      <c r="Z16" s="36">
        <f t="shared" si="1"/>
        <v>6971617</v>
      </c>
      <c r="AA16" s="143">
        <f>(D16)/Z16*100</f>
        <v>21.167212714066192</v>
      </c>
      <c r="AB16" s="46">
        <f t="shared" si="5"/>
        <v>1475697</v>
      </c>
      <c r="AC16" s="38">
        <f t="shared" si="6"/>
        <v>578691</v>
      </c>
      <c r="AD16" s="38">
        <v>897006</v>
      </c>
      <c r="AF16" s="159">
        <v>1475697</v>
      </c>
      <c r="AG16" s="23">
        <v>1156410</v>
      </c>
      <c r="AH16" s="23"/>
      <c r="AI16" s="2">
        <v>1220916</v>
      </c>
      <c r="AJ16" s="23">
        <f t="shared" si="7"/>
        <v>-295530</v>
      </c>
    </row>
    <row r="17" spans="1:36" ht="15">
      <c r="A17" s="5">
        <v>9</v>
      </c>
      <c r="B17" s="6" t="s">
        <v>82</v>
      </c>
      <c r="C17" s="85">
        <v>3</v>
      </c>
      <c r="D17" s="70">
        <f>AB17</f>
        <v>1182830</v>
      </c>
      <c r="E17" s="8"/>
      <c r="F17" s="8">
        <f t="shared" si="8"/>
        <v>1182830</v>
      </c>
      <c r="G17" s="207">
        <f t="shared" si="2"/>
        <v>2571114</v>
      </c>
      <c r="H17" s="514">
        <v>2571114</v>
      </c>
      <c r="I17" s="8">
        <f t="shared" si="10"/>
        <v>732422</v>
      </c>
      <c r="J17" s="514">
        <v>732422</v>
      </c>
      <c r="K17" s="84">
        <f t="shared" si="9"/>
        <v>2108278</v>
      </c>
      <c r="L17" s="3"/>
      <c r="M17" s="514">
        <v>2108278</v>
      </c>
      <c r="N17" s="8">
        <f t="shared" si="3"/>
        <v>306493</v>
      </c>
      <c r="O17" s="70"/>
      <c r="P17" s="514">
        <v>306493</v>
      </c>
      <c r="Q17" s="70"/>
      <c r="R17" s="70"/>
      <c r="S17" s="70">
        <f t="shared" si="4"/>
        <v>0</v>
      </c>
      <c r="T17" s="70">
        <v>0</v>
      </c>
      <c r="U17" s="70"/>
      <c r="V17" s="8"/>
      <c r="W17" s="8"/>
      <c r="X17" s="8"/>
      <c r="Y17" s="35">
        <f t="shared" si="0"/>
        <v>5718307</v>
      </c>
      <c r="Z17" s="36">
        <f t="shared" si="1"/>
        <v>6901137</v>
      </c>
      <c r="AA17" s="143">
        <f>(D17)/Z17*100</f>
        <v>17.13963945361467</v>
      </c>
      <c r="AB17" s="46">
        <f t="shared" si="5"/>
        <v>1182830</v>
      </c>
      <c r="AC17" s="38">
        <f t="shared" si="6"/>
        <v>1072821</v>
      </c>
      <c r="AD17" s="38">
        <v>110009</v>
      </c>
      <c r="AF17" s="159">
        <v>1182830</v>
      </c>
      <c r="AG17" s="23">
        <v>898433</v>
      </c>
      <c r="AI17" s="23">
        <v>322331</v>
      </c>
      <c r="AJ17" s="23">
        <f t="shared" si="7"/>
        <v>322331</v>
      </c>
    </row>
    <row r="18" spans="1:36" ht="14.25">
      <c r="A18" s="5">
        <v>10</v>
      </c>
      <c r="B18" s="6" t="s">
        <v>30</v>
      </c>
      <c r="C18" s="85"/>
      <c r="D18" s="70"/>
      <c r="E18" s="8"/>
      <c r="F18" s="8">
        <f t="shared" si="8"/>
        <v>0</v>
      </c>
      <c r="G18" s="10">
        <f t="shared" si="2"/>
        <v>0</v>
      </c>
      <c r="H18" s="514"/>
      <c r="I18" s="8">
        <f t="shared" si="10"/>
        <v>0</v>
      </c>
      <c r="J18" s="514"/>
      <c r="K18" s="8">
        <f t="shared" si="9"/>
        <v>0</v>
      </c>
      <c r="L18" s="3"/>
      <c r="M18" s="3"/>
      <c r="N18" s="8">
        <f t="shared" si="3"/>
        <v>0</v>
      </c>
      <c r="O18" s="70"/>
      <c r="P18" s="3"/>
      <c r="Q18" s="70"/>
      <c r="R18" s="70"/>
      <c r="S18" s="70">
        <f t="shared" si="4"/>
        <v>0</v>
      </c>
      <c r="T18" s="70">
        <v>0</v>
      </c>
      <c r="U18" s="70"/>
      <c r="V18" s="8"/>
      <c r="W18" s="8"/>
      <c r="X18" s="8"/>
      <c r="Y18" s="35">
        <f t="shared" si="0"/>
        <v>0</v>
      </c>
      <c r="Z18" s="36">
        <f t="shared" si="1"/>
        <v>0</v>
      </c>
      <c r="AA18" s="143"/>
      <c r="AB18" s="46">
        <f t="shared" si="5"/>
        <v>885285</v>
      </c>
      <c r="AC18" s="38">
        <f t="shared" si="6"/>
        <v>648305</v>
      </c>
      <c r="AD18" s="38">
        <v>236980</v>
      </c>
      <c r="AF18" s="100">
        <v>885285</v>
      </c>
      <c r="AG18" s="2">
        <v>1073097</v>
      </c>
      <c r="AJ18" s="23">
        <f t="shared" si="7"/>
        <v>0</v>
      </c>
    </row>
    <row r="19" spans="1:36" ht="15">
      <c r="A19" s="5">
        <v>11</v>
      </c>
      <c r="B19" s="6" t="s">
        <v>31</v>
      </c>
      <c r="C19" s="85">
        <v>3</v>
      </c>
      <c r="D19" s="70">
        <f>AB19</f>
        <v>7092497</v>
      </c>
      <c r="E19" s="8"/>
      <c r="F19" s="8">
        <f t="shared" si="8"/>
        <v>7092497</v>
      </c>
      <c r="G19" s="207">
        <f t="shared" si="2"/>
        <v>17065791</v>
      </c>
      <c r="H19" s="514">
        <v>17065791</v>
      </c>
      <c r="I19" s="8">
        <f t="shared" si="10"/>
        <v>7146327</v>
      </c>
      <c r="J19" s="514">
        <v>7146327</v>
      </c>
      <c r="K19" s="8">
        <f t="shared" si="9"/>
        <v>2546089</v>
      </c>
      <c r="L19" s="514">
        <v>2546089</v>
      </c>
      <c r="M19" s="3"/>
      <c r="N19" s="8">
        <f>R19</f>
        <v>6600203</v>
      </c>
      <c r="O19" s="70"/>
      <c r="P19" s="471"/>
      <c r="Q19" s="70"/>
      <c r="R19" s="514">
        <v>6600203</v>
      </c>
      <c r="S19" s="70">
        <f t="shared" si="4"/>
        <v>0</v>
      </c>
      <c r="T19" s="70">
        <v>0</v>
      </c>
      <c r="U19" s="70"/>
      <c r="V19" s="8"/>
      <c r="W19" s="8"/>
      <c r="X19" s="8"/>
      <c r="Y19" s="35">
        <f t="shared" si="0"/>
        <v>33358410</v>
      </c>
      <c r="Z19" s="36">
        <f t="shared" si="1"/>
        <v>40450907</v>
      </c>
      <c r="AA19" s="143">
        <f>(D19)/Z19*100</f>
        <v>17.533592015625263</v>
      </c>
      <c r="AB19" s="46">
        <f t="shared" si="5"/>
        <v>7092497</v>
      </c>
      <c r="AC19" s="38">
        <f t="shared" si="6"/>
        <v>5597012</v>
      </c>
      <c r="AD19" s="38">
        <v>1495485</v>
      </c>
      <c r="AF19" s="159">
        <v>7092497</v>
      </c>
      <c r="AG19" s="23">
        <v>3143061</v>
      </c>
      <c r="AI19" s="23">
        <v>6393570</v>
      </c>
      <c r="AJ19" s="23">
        <f t="shared" si="7"/>
        <v>6393570</v>
      </c>
    </row>
    <row r="20" spans="1:36" ht="15">
      <c r="A20" s="5">
        <v>12</v>
      </c>
      <c r="B20" s="6" t="s">
        <v>32</v>
      </c>
      <c r="C20" s="85">
        <v>2</v>
      </c>
      <c r="D20" s="70">
        <f>AB20</f>
        <v>8135691</v>
      </c>
      <c r="E20" s="8"/>
      <c r="F20" s="8">
        <f t="shared" si="8"/>
        <v>8135691</v>
      </c>
      <c r="G20" s="10">
        <f>H20</f>
        <v>3699195</v>
      </c>
      <c r="H20" s="514">
        <v>3699195</v>
      </c>
      <c r="I20" s="8">
        <f t="shared" si="10"/>
        <v>6625536</v>
      </c>
      <c r="J20" s="514">
        <v>6625536</v>
      </c>
      <c r="K20" s="8">
        <f t="shared" si="9"/>
        <v>1183</v>
      </c>
      <c r="L20" s="514">
        <v>1183</v>
      </c>
      <c r="M20" s="3"/>
      <c r="N20" s="84">
        <f aca="true" t="shared" si="11" ref="N20:N25">O20+P20+Q20</f>
        <v>8563435</v>
      </c>
      <c r="O20" s="70"/>
      <c r="P20" s="514">
        <v>8563435</v>
      </c>
      <c r="Q20" s="70"/>
      <c r="R20" s="3"/>
      <c r="S20" s="70">
        <f t="shared" si="4"/>
        <v>0</v>
      </c>
      <c r="T20" s="70">
        <v>0</v>
      </c>
      <c r="U20" s="70"/>
      <c r="V20" s="8"/>
      <c r="W20" s="8"/>
      <c r="X20" s="8"/>
      <c r="Y20" s="35">
        <f t="shared" si="0"/>
        <v>18889349</v>
      </c>
      <c r="Z20" s="36">
        <f t="shared" si="1"/>
        <v>27025040</v>
      </c>
      <c r="AA20" s="143">
        <f>(D20)/Z20*100</f>
        <v>30.104269965927895</v>
      </c>
      <c r="AB20" s="46">
        <f t="shared" si="5"/>
        <v>8135691</v>
      </c>
      <c r="AC20" s="38">
        <f t="shared" si="6"/>
        <v>4721150</v>
      </c>
      <c r="AD20" s="38">
        <v>3414541</v>
      </c>
      <c r="AF20" s="159">
        <v>8135691</v>
      </c>
      <c r="AG20" s="2">
        <v>3438993</v>
      </c>
      <c r="AI20" s="2">
        <v>3615118</v>
      </c>
      <c r="AJ20" s="23">
        <f t="shared" si="7"/>
        <v>3615118</v>
      </c>
    </row>
    <row r="21" spans="1:36" ht="15">
      <c r="A21" s="5">
        <v>13</v>
      </c>
      <c r="B21" s="6" t="s">
        <v>83</v>
      </c>
      <c r="C21" s="85">
        <v>4</v>
      </c>
      <c r="D21" s="70">
        <f>AB21+AB13</f>
        <v>4811830</v>
      </c>
      <c r="E21" s="8"/>
      <c r="F21" s="8">
        <f t="shared" si="8"/>
        <v>4811830</v>
      </c>
      <c r="G21" s="207">
        <f t="shared" si="2"/>
        <v>10484563</v>
      </c>
      <c r="H21" s="514">
        <v>10484563</v>
      </c>
      <c r="I21" s="8">
        <f t="shared" si="10"/>
        <v>4671534</v>
      </c>
      <c r="J21" s="514">
        <v>4671534</v>
      </c>
      <c r="K21" s="8">
        <f t="shared" si="9"/>
        <v>22694</v>
      </c>
      <c r="L21" s="514">
        <v>22694</v>
      </c>
      <c r="M21" s="3"/>
      <c r="N21" s="84">
        <f t="shared" si="11"/>
        <v>16765452</v>
      </c>
      <c r="O21" s="70"/>
      <c r="P21" s="514">
        <v>16765452</v>
      </c>
      <c r="Q21" s="70"/>
      <c r="R21" s="3"/>
      <c r="S21" s="93">
        <f>T21+U21</f>
        <v>8313704</v>
      </c>
      <c r="T21" s="30">
        <v>8313704</v>
      </c>
      <c r="U21" s="70"/>
      <c r="V21" s="8"/>
      <c r="W21" s="8">
        <v>1471704</v>
      </c>
      <c r="X21" s="8"/>
      <c r="Y21" s="35">
        <f t="shared" si="0"/>
        <v>41729651</v>
      </c>
      <c r="Z21" s="36">
        <f t="shared" si="1"/>
        <v>46541481</v>
      </c>
      <c r="AA21" s="143">
        <f>(D21)/Z21*100</f>
        <v>10.338798629979136</v>
      </c>
      <c r="AB21" s="46">
        <f t="shared" si="5"/>
        <v>3069524</v>
      </c>
      <c r="AC21" s="38">
        <f t="shared" si="6"/>
        <v>2004735</v>
      </c>
      <c r="AD21" s="38">
        <v>1064789</v>
      </c>
      <c r="AF21" s="159">
        <v>3069524</v>
      </c>
      <c r="AG21" s="2">
        <v>2094151</v>
      </c>
      <c r="AI21" s="2">
        <v>9032056</v>
      </c>
      <c r="AJ21" s="23">
        <f t="shared" si="7"/>
        <v>718352</v>
      </c>
    </row>
    <row r="22" spans="1:36" ht="15">
      <c r="A22" s="5">
        <v>14</v>
      </c>
      <c r="B22" s="6" t="s">
        <v>34</v>
      </c>
      <c r="C22" s="85">
        <v>4</v>
      </c>
      <c r="D22" s="70">
        <f>AB22</f>
        <v>6542112</v>
      </c>
      <c r="E22" s="8"/>
      <c r="F22" s="8">
        <f t="shared" si="8"/>
        <v>6542112</v>
      </c>
      <c r="G22" s="207">
        <f t="shared" si="2"/>
        <v>10490135</v>
      </c>
      <c r="H22" s="514">
        <v>10490135</v>
      </c>
      <c r="I22" s="84">
        <f t="shared" si="10"/>
        <v>15011575</v>
      </c>
      <c r="J22" s="514">
        <v>15011575</v>
      </c>
      <c r="K22" s="8">
        <f t="shared" si="9"/>
        <v>1389269</v>
      </c>
      <c r="L22" s="514">
        <v>1389269</v>
      </c>
      <c r="M22" s="3"/>
      <c r="N22" s="84">
        <f t="shared" si="11"/>
        <v>18151446</v>
      </c>
      <c r="O22" s="70"/>
      <c r="P22" s="514">
        <v>18151446</v>
      </c>
      <c r="Q22" s="70"/>
      <c r="R22" s="3"/>
      <c r="S22" s="70">
        <f t="shared" si="4"/>
        <v>0</v>
      </c>
      <c r="T22" s="70">
        <v>0</v>
      </c>
      <c r="U22" s="70"/>
      <c r="V22" s="8">
        <v>6072987</v>
      </c>
      <c r="W22" s="8"/>
      <c r="X22" s="8"/>
      <c r="Y22" s="35">
        <f t="shared" si="0"/>
        <v>51115412</v>
      </c>
      <c r="Z22" s="36">
        <f t="shared" si="1"/>
        <v>57657524</v>
      </c>
      <c r="AA22" s="143">
        <f>(D22)/Z22*100</f>
        <v>11.34650180260949</v>
      </c>
      <c r="AB22" s="46">
        <f t="shared" si="5"/>
        <v>6542112</v>
      </c>
      <c r="AC22" s="38">
        <f t="shared" si="6"/>
        <v>4148207</v>
      </c>
      <c r="AD22" s="38">
        <v>2393905</v>
      </c>
      <c r="AF22" s="159">
        <v>6542112</v>
      </c>
      <c r="AG22" s="23">
        <v>4213244</v>
      </c>
      <c r="AI22" s="2">
        <v>7772003</v>
      </c>
      <c r="AJ22" s="23">
        <f t="shared" si="7"/>
        <v>7772003</v>
      </c>
    </row>
    <row r="23" spans="1:36" ht="15">
      <c r="A23" s="5">
        <v>15</v>
      </c>
      <c r="B23" s="6" t="s">
        <v>35</v>
      </c>
      <c r="C23" s="85">
        <v>3</v>
      </c>
      <c r="D23" s="70">
        <f>AB23+AB24</f>
        <v>1314884</v>
      </c>
      <c r="E23" s="8"/>
      <c r="F23" s="8">
        <f t="shared" si="8"/>
        <v>1314884</v>
      </c>
      <c r="G23" s="207">
        <f t="shared" si="2"/>
        <v>3035984</v>
      </c>
      <c r="H23" s="514">
        <v>3035984</v>
      </c>
      <c r="I23" s="8">
        <f t="shared" si="10"/>
        <v>1129908</v>
      </c>
      <c r="J23" s="514">
        <v>1129908</v>
      </c>
      <c r="K23" s="84">
        <f t="shared" si="9"/>
        <v>2338153</v>
      </c>
      <c r="L23" s="3"/>
      <c r="M23" s="514">
        <v>2338153</v>
      </c>
      <c r="N23" s="8">
        <f t="shared" si="11"/>
        <v>329958</v>
      </c>
      <c r="O23" s="70"/>
      <c r="P23" s="514">
        <v>329958</v>
      </c>
      <c r="Q23" s="70"/>
      <c r="R23" s="3"/>
      <c r="S23" s="70">
        <f>T23+U23</f>
        <v>1019408</v>
      </c>
      <c r="T23" s="514">
        <v>1019408</v>
      </c>
      <c r="U23" s="70"/>
      <c r="V23" s="8"/>
      <c r="W23" s="8"/>
      <c r="X23" s="8"/>
      <c r="Y23" s="35">
        <f t="shared" si="0"/>
        <v>7853411</v>
      </c>
      <c r="Z23" s="36">
        <f t="shared" si="1"/>
        <v>9168295</v>
      </c>
      <c r="AA23" s="143">
        <f>(D23)/Z23*100</f>
        <v>14.341641493865545</v>
      </c>
      <c r="AB23" s="46">
        <f t="shared" si="5"/>
        <v>591302</v>
      </c>
      <c r="AC23" s="38">
        <f t="shared" si="6"/>
        <v>423282</v>
      </c>
      <c r="AD23" s="38">
        <v>168020</v>
      </c>
      <c r="AF23" s="159">
        <v>591302</v>
      </c>
      <c r="AG23" s="23">
        <v>383286</v>
      </c>
      <c r="AI23" s="2">
        <v>528185</v>
      </c>
      <c r="AJ23" s="23">
        <f t="shared" si="7"/>
        <v>-491223</v>
      </c>
    </row>
    <row r="24" spans="1:36" ht="14.25">
      <c r="A24" s="5">
        <v>16</v>
      </c>
      <c r="B24" s="6" t="s">
        <v>36</v>
      </c>
      <c r="C24" s="85"/>
      <c r="D24" s="70"/>
      <c r="E24" s="8"/>
      <c r="F24" s="8">
        <f>D24+E24</f>
        <v>0</v>
      </c>
      <c r="G24" s="10">
        <f t="shared" si="2"/>
        <v>0</v>
      </c>
      <c r="H24" s="514"/>
      <c r="I24" s="8">
        <f t="shared" si="10"/>
        <v>0</v>
      </c>
      <c r="J24" s="514"/>
      <c r="K24" s="8">
        <f t="shared" si="9"/>
        <v>0</v>
      </c>
      <c r="L24" s="3"/>
      <c r="M24" s="3"/>
      <c r="N24" s="8">
        <f t="shared" si="11"/>
        <v>0</v>
      </c>
      <c r="O24" s="70"/>
      <c r="P24" s="3"/>
      <c r="Q24" s="70"/>
      <c r="R24" s="3"/>
      <c r="S24" s="70">
        <f t="shared" si="4"/>
        <v>0</v>
      </c>
      <c r="T24" s="70">
        <v>0</v>
      </c>
      <c r="U24" s="70"/>
      <c r="V24" s="8"/>
      <c r="W24" s="8"/>
      <c r="X24" s="8"/>
      <c r="Y24" s="35">
        <f t="shared" si="0"/>
        <v>0</v>
      </c>
      <c r="Z24" s="36">
        <f t="shared" si="1"/>
        <v>0</v>
      </c>
      <c r="AA24" s="143"/>
      <c r="AB24" s="46">
        <f t="shared" si="5"/>
        <v>723582</v>
      </c>
      <c r="AC24" s="38">
        <f t="shared" si="6"/>
        <v>459113</v>
      </c>
      <c r="AD24" s="38">
        <v>264469</v>
      </c>
      <c r="AF24" s="100">
        <v>723582</v>
      </c>
      <c r="AG24" s="2">
        <v>474893</v>
      </c>
      <c r="AJ24" s="23">
        <f t="shared" si="7"/>
        <v>0</v>
      </c>
    </row>
    <row r="25" spans="1:36" ht="15">
      <c r="A25" s="5">
        <v>17</v>
      </c>
      <c r="B25" s="6" t="s">
        <v>37</v>
      </c>
      <c r="C25" s="85">
        <v>5</v>
      </c>
      <c r="D25" s="70">
        <f>AB25</f>
        <v>3261306</v>
      </c>
      <c r="E25" s="8"/>
      <c r="F25" s="8">
        <f t="shared" si="8"/>
        <v>3261306</v>
      </c>
      <c r="G25" s="207">
        <f t="shared" si="2"/>
        <v>7616080</v>
      </c>
      <c r="H25" s="514">
        <v>7616080</v>
      </c>
      <c r="I25" s="8">
        <f t="shared" si="10"/>
        <v>3308052</v>
      </c>
      <c r="J25" s="514">
        <v>3308052</v>
      </c>
      <c r="K25" s="8">
        <f t="shared" si="9"/>
        <v>3558272</v>
      </c>
      <c r="L25" s="3"/>
      <c r="M25" s="514">
        <v>3558272</v>
      </c>
      <c r="N25" s="8">
        <f t="shared" si="11"/>
        <v>1102358</v>
      </c>
      <c r="O25" s="70"/>
      <c r="P25" s="514">
        <v>1102358</v>
      </c>
      <c r="Q25" s="70"/>
      <c r="R25" s="3"/>
      <c r="S25" s="70">
        <f>T25+U25</f>
        <v>4242618</v>
      </c>
      <c r="T25" s="514">
        <v>4242618</v>
      </c>
      <c r="U25" s="70"/>
      <c r="V25" s="8"/>
      <c r="W25" s="8"/>
      <c r="X25" s="8"/>
      <c r="Y25" s="35">
        <f t="shared" si="0"/>
        <v>19827380</v>
      </c>
      <c r="Z25" s="36">
        <f t="shared" si="1"/>
        <v>23088686</v>
      </c>
      <c r="AA25" s="143">
        <f>(D25)/Z25*100</f>
        <v>14.125126046584027</v>
      </c>
      <c r="AB25" s="46">
        <f t="shared" si="5"/>
        <v>3261306</v>
      </c>
      <c r="AC25" s="38">
        <f t="shared" si="6"/>
        <v>2178880</v>
      </c>
      <c r="AD25" s="38">
        <v>1082426</v>
      </c>
      <c r="AF25" s="159">
        <v>3261306</v>
      </c>
      <c r="AG25" s="2">
        <v>2083541</v>
      </c>
      <c r="AI25" s="2">
        <v>2854476</v>
      </c>
      <c r="AJ25" s="23">
        <f t="shared" si="7"/>
        <v>-1388142</v>
      </c>
    </row>
    <row r="26" spans="1:36" ht="15">
      <c r="A26" s="5">
        <v>18</v>
      </c>
      <c r="B26" s="6" t="s">
        <v>38</v>
      </c>
      <c r="C26" s="85">
        <v>4</v>
      </c>
      <c r="D26" s="70">
        <f>AB26</f>
        <v>4525910</v>
      </c>
      <c r="E26" s="8"/>
      <c r="F26" s="8">
        <f t="shared" si="8"/>
        <v>4525910</v>
      </c>
      <c r="G26" s="207">
        <f t="shared" si="2"/>
        <v>7335050</v>
      </c>
      <c r="H26" s="514">
        <v>7335050</v>
      </c>
      <c r="I26" s="84">
        <f t="shared" si="10"/>
        <v>4609740</v>
      </c>
      <c r="J26" s="514">
        <v>4609740</v>
      </c>
      <c r="K26" s="8">
        <f t="shared" si="9"/>
        <v>866042</v>
      </c>
      <c r="L26" s="514">
        <v>866042</v>
      </c>
      <c r="M26" s="3"/>
      <c r="N26" s="84">
        <f>R26</f>
        <v>5804185</v>
      </c>
      <c r="O26" s="70"/>
      <c r="P26" s="3"/>
      <c r="Q26" s="70"/>
      <c r="R26" s="514">
        <v>5804185</v>
      </c>
      <c r="S26" s="70">
        <f t="shared" si="4"/>
        <v>0</v>
      </c>
      <c r="T26" s="70">
        <v>0</v>
      </c>
      <c r="U26" s="70"/>
      <c r="V26" s="8"/>
      <c r="W26" s="8"/>
      <c r="X26" s="8"/>
      <c r="Y26" s="35">
        <f t="shared" si="0"/>
        <v>18615017</v>
      </c>
      <c r="Z26" s="36">
        <f t="shared" si="1"/>
        <v>23140927</v>
      </c>
      <c r="AA26" s="143">
        <f>(D26)/Z26*100</f>
        <v>19.558032398615666</v>
      </c>
      <c r="AB26" s="46">
        <f t="shared" si="5"/>
        <v>4525910</v>
      </c>
      <c r="AC26" s="38">
        <f t="shared" si="6"/>
        <v>2766462</v>
      </c>
      <c r="AD26" s="38">
        <v>1759448</v>
      </c>
      <c r="AF26" s="159">
        <v>4525910</v>
      </c>
      <c r="AG26" s="2">
        <v>3411009</v>
      </c>
      <c r="AH26" s="23"/>
      <c r="AI26" s="2">
        <v>2974243</v>
      </c>
      <c r="AJ26" s="23">
        <f t="shared" si="7"/>
        <v>2974243</v>
      </c>
    </row>
    <row r="27" spans="1:36" ht="15">
      <c r="A27" s="5">
        <v>19</v>
      </c>
      <c r="B27" s="6" t="s">
        <v>39</v>
      </c>
      <c r="C27" s="85">
        <v>3</v>
      </c>
      <c r="D27" s="70">
        <f>AB27</f>
        <v>5839662</v>
      </c>
      <c r="E27" s="8"/>
      <c r="F27" s="8">
        <f t="shared" si="8"/>
        <v>5839662</v>
      </c>
      <c r="G27" s="207">
        <f t="shared" si="2"/>
        <v>15562804</v>
      </c>
      <c r="H27" s="514">
        <v>15562804</v>
      </c>
      <c r="I27" s="84">
        <f t="shared" si="10"/>
        <v>9603620</v>
      </c>
      <c r="J27" s="514">
        <v>9603620</v>
      </c>
      <c r="K27" s="8">
        <f t="shared" si="9"/>
        <v>4310006</v>
      </c>
      <c r="L27" s="514">
        <v>4310006</v>
      </c>
      <c r="M27" s="3"/>
      <c r="N27" s="8">
        <f aca="true" t="shared" si="12" ref="N27:N34">O27+P27+Q27</f>
        <v>5740348</v>
      </c>
      <c r="O27" s="70"/>
      <c r="P27" s="514">
        <v>5740348</v>
      </c>
      <c r="Q27" s="70"/>
      <c r="R27" s="70"/>
      <c r="S27" s="70">
        <f t="shared" si="4"/>
        <v>0</v>
      </c>
      <c r="T27" s="70">
        <v>0</v>
      </c>
      <c r="U27" s="70"/>
      <c r="V27" s="8"/>
      <c r="W27" s="8"/>
      <c r="X27" s="8"/>
      <c r="Y27" s="35">
        <f t="shared" si="0"/>
        <v>35216778</v>
      </c>
      <c r="Z27" s="36">
        <f t="shared" si="1"/>
        <v>41056440</v>
      </c>
      <c r="AA27" s="143">
        <f>(D27)/Z27*100</f>
        <v>14.22349818932182</v>
      </c>
      <c r="AB27" s="46">
        <f t="shared" si="5"/>
        <v>5839662</v>
      </c>
      <c r="AC27" s="38">
        <f t="shared" si="6"/>
        <v>4013998</v>
      </c>
      <c r="AD27" s="38">
        <v>1825664</v>
      </c>
      <c r="AF27" s="159">
        <v>5839662</v>
      </c>
      <c r="AG27" s="2">
        <v>3593805</v>
      </c>
      <c r="AH27" s="23"/>
      <c r="AI27" s="2">
        <v>5678598</v>
      </c>
      <c r="AJ27" s="23">
        <f t="shared" si="7"/>
        <v>5678598</v>
      </c>
    </row>
    <row r="28" spans="1:36" ht="15">
      <c r="A28" s="5">
        <v>20</v>
      </c>
      <c r="B28" s="6" t="s">
        <v>40</v>
      </c>
      <c r="C28" s="85">
        <v>4</v>
      </c>
      <c r="D28" s="70">
        <f>AB28</f>
        <v>8204388</v>
      </c>
      <c r="E28" s="8"/>
      <c r="F28" s="8">
        <f t="shared" si="8"/>
        <v>8204388</v>
      </c>
      <c r="G28" s="207">
        <f t="shared" si="2"/>
        <v>10338596</v>
      </c>
      <c r="H28" s="514">
        <v>10338596</v>
      </c>
      <c r="I28" s="84">
        <f t="shared" si="10"/>
        <v>10730963</v>
      </c>
      <c r="J28" s="514">
        <v>10730963</v>
      </c>
      <c r="K28" s="84">
        <f t="shared" si="9"/>
        <v>18180215</v>
      </c>
      <c r="L28" s="514">
        <v>18180215</v>
      </c>
      <c r="M28" s="3"/>
      <c r="N28" s="8">
        <f t="shared" si="12"/>
        <v>2633971</v>
      </c>
      <c r="O28" s="70"/>
      <c r="P28" s="514">
        <v>2633971</v>
      </c>
      <c r="Q28" s="70"/>
      <c r="R28" s="70"/>
      <c r="S28" s="70">
        <f t="shared" si="4"/>
        <v>0</v>
      </c>
      <c r="T28" s="70">
        <v>0</v>
      </c>
      <c r="U28" s="70"/>
      <c r="V28" s="8"/>
      <c r="W28" s="8"/>
      <c r="X28" s="8"/>
      <c r="Y28" s="35">
        <f t="shared" si="0"/>
        <v>41883745</v>
      </c>
      <c r="Z28" s="36">
        <f t="shared" si="1"/>
        <v>50088133</v>
      </c>
      <c r="AA28" s="143">
        <f>(D28)/Z28*100</f>
        <v>16.37990379877006</v>
      </c>
      <c r="AB28" s="46">
        <f t="shared" si="5"/>
        <v>8204388</v>
      </c>
      <c r="AC28" s="38">
        <f t="shared" si="6"/>
        <v>7304281</v>
      </c>
      <c r="AD28" s="38">
        <v>900107</v>
      </c>
      <c r="AF28" s="159">
        <v>8204388</v>
      </c>
      <c r="AG28" s="2">
        <v>4020802</v>
      </c>
      <c r="AI28" s="2">
        <v>5592238</v>
      </c>
      <c r="AJ28" s="23">
        <f t="shared" si="7"/>
        <v>5592238</v>
      </c>
    </row>
    <row r="29" spans="1:36" ht="14.25">
      <c r="A29" s="5">
        <v>21</v>
      </c>
      <c r="B29" s="6" t="s">
        <v>41</v>
      </c>
      <c r="C29" s="85"/>
      <c r="D29" s="70"/>
      <c r="E29" s="8"/>
      <c r="F29" s="8">
        <f t="shared" si="8"/>
        <v>0</v>
      </c>
      <c r="G29" s="10">
        <f t="shared" si="2"/>
        <v>0</v>
      </c>
      <c r="H29" s="514"/>
      <c r="I29" s="8">
        <f t="shared" si="10"/>
        <v>0</v>
      </c>
      <c r="J29" s="514"/>
      <c r="K29" s="8">
        <f t="shared" si="9"/>
        <v>0</v>
      </c>
      <c r="L29" s="3"/>
      <c r="M29" s="3"/>
      <c r="N29" s="8">
        <f t="shared" si="12"/>
        <v>0</v>
      </c>
      <c r="O29" s="70"/>
      <c r="P29" s="3"/>
      <c r="Q29" s="70"/>
      <c r="R29" s="70"/>
      <c r="S29" s="70">
        <f t="shared" si="4"/>
        <v>0</v>
      </c>
      <c r="T29" s="70">
        <v>0</v>
      </c>
      <c r="U29" s="70"/>
      <c r="V29" s="8"/>
      <c r="W29" s="8"/>
      <c r="X29" s="8"/>
      <c r="Y29" s="35">
        <f t="shared" si="0"/>
        <v>0</v>
      </c>
      <c r="Z29" s="36">
        <f t="shared" si="1"/>
        <v>0</v>
      </c>
      <c r="AA29" s="143"/>
      <c r="AB29" s="46">
        <f t="shared" si="5"/>
        <v>909999</v>
      </c>
      <c r="AC29" s="38">
        <f t="shared" si="6"/>
        <v>558823</v>
      </c>
      <c r="AD29" s="38">
        <v>351176</v>
      </c>
      <c r="AF29" s="100">
        <v>909999</v>
      </c>
      <c r="AG29" s="2">
        <v>943333</v>
      </c>
      <c r="AJ29" s="23">
        <f t="shared" si="7"/>
        <v>0</v>
      </c>
    </row>
    <row r="30" spans="1:36" ht="15">
      <c r="A30" s="5">
        <v>22</v>
      </c>
      <c r="B30" s="6" t="s">
        <v>84</v>
      </c>
      <c r="C30" s="85">
        <v>3</v>
      </c>
      <c r="D30" s="70">
        <f>AB30</f>
        <v>10085353</v>
      </c>
      <c r="E30" s="8"/>
      <c r="F30" s="8">
        <f t="shared" si="8"/>
        <v>10085353</v>
      </c>
      <c r="G30" s="207">
        <f>H30</f>
        <v>16211071</v>
      </c>
      <c r="H30" s="514">
        <v>16211071</v>
      </c>
      <c r="I30" s="84">
        <f t="shared" si="10"/>
        <v>15167294</v>
      </c>
      <c r="J30" s="514">
        <v>15167294</v>
      </c>
      <c r="K30" s="8">
        <f t="shared" si="9"/>
        <v>5160078</v>
      </c>
      <c r="L30" s="514">
        <v>5160078</v>
      </c>
      <c r="M30" s="3"/>
      <c r="N30" s="8">
        <f t="shared" si="12"/>
        <v>7687655</v>
      </c>
      <c r="O30" s="70"/>
      <c r="P30" s="514">
        <v>7687655</v>
      </c>
      <c r="Q30" s="70"/>
      <c r="R30" s="70"/>
      <c r="S30" s="70">
        <f t="shared" si="4"/>
        <v>0</v>
      </c>
      <c r="T30" s="70">
        <v>0</v>
      </c>
      <c r="U30" s="70"/>
      <c r="V30" s="8">
        <v>7964835</v>
      </c>
      <c r="W30" s="8"/>
      <c r="X30" s="8"/>
      <c r="Y30" s="35">
        <f t="shared" si="0"/>
        <v>52190933</v>
      </c>
      <c r="Z30" s="36">
        <f t="shared" si="1"/>
        <v>62276286</v>
      </c>
      <c r="AA30" s="143">
        <f aca="true" t="shared" si="13" ref="AA30:AA38">(D30)/Z30*100</f>
        <v>16.1945318961378</v>
      </c>
      <c r="AB30" s="46">
        <f t="shared" si="5"/>
        <v>10085353</v>
      </c>
      <c r="AC30" s="38">
        <f t="shared" si="6"/>
        <v>7197250</v>
      </c>
      <c r="AD30" s="38">
        <v>2888103</v>
      </c>
      <c r="AF30" s="159">
        <v>10085353</v>
      </c>
      <c r="AG30" s="2">
        <v>7180690</v>
      </c>
      <c r="AI30" s="2">
        <v>9442177</v>
      </c>
      <c r="AJ30" s="23">
        <f t="shared" si="7"/>
        <v>9442177</v>
      </c>
    </row>
    <row r="31" spans="1:36" ht="15">
      <c r="A31" s="5">
        <v>23</v>
      </c>
      <c r="B31" s="6" t="s">
        <v>85</v>
      </c>
      <c r="C31" s="85">
        <v>5</v>
      </c>
      <c r="D31" s="70">
        <f>AB31+AB29</f>
        <v>4290296</v>
      </c>
      <c r="E31" s="8"/>
      <c r="F31" s="8">
        <f t="shared" si="8"/>
        <v>4290296</v>
      </c>
      <c r="G31" s="207">
        <f t="shared" si="2"/>
        <v>6789781</v>
      </c>
      <c r="H31" s="514">
        <v>6789781</v>
      </c>
      <c r="I31" s="84">
        <f t="shared" si="10"/>
        <v>9650166</v>
      </c>
      <c r="J31" s="514">
        <v>9650166</v>
      </c>
      <c r="K31" s="8">
        <f t="shared" si="9"/>
        <v>109150</v>
      </c>
      <c r="L31" s="514">
        <v>109150</v>
      </c>
      <c r="M31" s="3"/>
      <c r="N31" s="8">
        <f t="shared" si="12"/>
        <v>11325435</v>
      </c>
      <c r="O31" s="70"/>
      <c r="P31" s="514">
        <v>11325435</v>
      </c>
      <c r="Q31" s="70"/>
      <c r="R31" s="70"/>
      <c r="S31" s="70">
        <f>T31+U31</f>
        <v>0</v>
      </c>
      <c r="T31" s="70">
        <v>0</v>
      </c>
      <c r="U31" s="70"/>
      <c r="V31" s="84">
        <v>5585433</v>
      </c>
      <c r="W31" s="8"/>
      <c r="X31" s="8"/>
      <c r="Y31" s="35">
        <f t="shared" si="0"/>
        <v>33459965</v>
      </c>
      <c r="Z31" s="36">
        <f t="shared" si="1"/>
        <v>37750261</v>
      </c>
      <c r="AA31" s="143">
        <f t="shared" si="13"/>
        <v>11.36494394038759</v>
      </c>
      <c r="AB31" s="46">
        <f t="shared" si="5"/>
        <v>3380297</v>
      </c>
      <c r="AC31" s="38">
        <f t="shared" si="6"/>
        <v>2563849</v>
      </c>
      <c r="AD31" s="38">
        <v>816448</v>
      </c>
      <c r="AF31" s="159">
        <v>3380297</v>
      </c>
      <c r="AG31" s="23">
        <v>2032639</v>
      </c>
      <c r="AI31" s="2">
        <v>6699506</v>
      </c>
      <c r="AJ31" s="23">
        <f t="shared" si="7"/>
        <v>6699506</v>
      </c>
    </row>
    <row r="32" spans="1:36" ht="15">
      <c r="A32" s="5">
        <v>24</v>
      </c>
      <c r="B32" s="6" t="s">
        <v>44</v>
      </c>
      <c r="C32" s="85">
        <v>5</v>
      </c>
      <c r="D32" s="70">
        <f>AB32+AB9</f>
        <v>1991527</v>
      </c>
      <c r="E32" s="8"/>
      <c r="F32" s="8">
        <f t="shared" si="8"/>
        <v>1991527</v>
      </c>
      <c r="G32" s="207">
        <f t="shared" si="2"/>
        <v>10106257</v>
      </c>
      <c r="H32" s="514">
        <v>10106257</v>
      </c>
      <c r="I32" s="84">
        <f t="shared" si="10"/>
        <v>12475210</v>
      </c>
      <c r="J32" s="514">
        <v>12475210</v>
      </c>
      <c r="K32" s="84">
        <f t="shared" si="9"/>
        <v>3439593</v>
      </c>
      <c r="L32" s="3"/>
      <c r="M32" s="514">
        <v>3439593</v>
      </c>
      <c r="N32" s="8">
        <f t="shared" si="12"/>
        <v>2817511</v>
      </c>
      <c r="O32" s="70"/>
      <c r="P32" s="514">
        <v>2817511</v>
      </c>
      <c r="Q32" s="70"/>
      <c r="R32" s="70"/>
      <c r="S32" s="93">
        <f>T32+U32</f>
        <v>7315179</v>
      </c>
      <c r="T32" s="514">
        <v>7315179</v>
      </c>
      <c r="U32" s="70"/>
      <c r="V32" s="84"/>
      <c r="W32" s="8"/>
      <c r="X32" s="8"/>
      <c r="Y32" s="35">
        <f t="shared" si="0"/>
        <v>36153750</v>
      </c>
      <c r="Z32" s="36">
        <f t="shared" si="1"/>
        <v>38145277</v>
      </c>
      <c r="AA32" s="143">
        <f t="shared" si="13"/>
        <v>5.220900611103178</v>
      </c>
      <c r="AB32" s="46">
        <f t="shared" si="5"/>
        <v>1775109</v>
      </c>
      <c r="AC32" s="38">
        <f t="shared" si="6"/>
        <v>951534</v>
      </c>
      <c r="AD32" s="38">
        <v>823575</v>
      </c>
      <c r="AF32" s="159">
        <v>1775109</v>
      </c>
      <c r="AG32" s="23">
        <v>2055457</v>
      </c>
      <c r="AI32" s="2">
        <v>5199733</v>
      </c>
      <c r="AJ32" s="23">
        <f t="shared" si="7"/>
        <v>-2115446</v>
      </c>
    </row>
    <row r="33" spans="1:36" ht="15">
      <c r="A33" s="5">
        <v>25</v>
      </c>
      <c r="B33" s="6" t="s">
        <v>45</v>
      </c>
      <c r="C33" s="85">
        <v>6</v>
      </c>
      <c r="D33" s="70">
        <f>AB33</f>
        <v>844996</v>
      </c>
      <c r="E33" s="8"/>
      <c r="F33" s="8">
        <f t="shared" si="8"/>
        <v>844996</v>
      </c>
      <c r="G33" s="207">
        <f t="shared" si="2"/>
        <v>3842231</v>
      </c>
      <c r="H33" s="514">
        <v>3842231</v>
      </c>
      <c r="I33" s="84">
        <f t="shared" si="10"/>
        <v>4527455</v>
      </c>
      <c r="J33" s="514">
        <v>4527455</v>
      </c>
      <c r="K33" s="8">
        <f t="shared" si="9"/>
        <v>2804989</v>
      </c>
      <c r="L33" s="514">
        <v>2804989</v>
      </c>
      <c r="M33" s="8"/>
      <c r="N33" s="8">
        <f t="shared" si="12"/>
        <v>1280909</v>
      </c>
      <c r="O33" s="70"/>
      <c r="P33" s="514">
        <v>1280909</v>
      </c>
      <c r="Q33" s="70"/>
      <c r="R33" s="70"/>
      <c r="S33" s="93">
        <f>T33+U33</f>
        <v>3863599</v>
      </c>
      <c r="T33" s="514">
        <v>3863599</v>
      </c>
      <c r="U33" s="70"/>
      <c r="V33" s="8"/>
      <c r="W33" s="8"/>
      <c r="X33" s="8"/>
      <c r="Y33" s="35">
        <f t="shared" si="0"/>
        <v>16319183</v>
      </c>
      <c r="Z33" s="36">
        <f t="shared" si="1"/>
        <v>17164179</v>
      </c>
      <c r="AA33" s="143">
        <f t="shared" si="13"/>
        <v>4.923020203879253</v>
      </c>
      <c r="AB33" s="46">
        <f t="shared" si="5"/>
        <v>844996</v>
      </c>
      <c r="AC33" s="38">
        <f t="shared" si="6"/>
        <v>844996</v>
      </c>
      <c r="AD33" s="38">
        <v>0</v>
      </c>
      <c r="AF33" s="159">
        <v>844996</v>
      </c>
      <c r="AG33" s="23">
        <v>1755860</v>
      </c>
      <c r="AI33" s="2">
        <v>3788404</v>
      </c>
      <c r="AJ33" s="23">
        <f t="shared" si="7"/>
        <v>-75195</v>
      </c>
    </row>
    <row r="34" spans="1:36" ht="15">
      <c r="A34" s="5">
        <v>26</v>
      </c>
      <c r="B34" s="6" t="s">
        <v>46</v>
      </c>
      <c r="C34" s="85">
        <v>4</v>
      </c>
      <c r="D34" s="70">
        <f>AB34</f>
        <v>1431238</v>
      </c>
      <c r="E34" s="8"/>
      <c r="F34" s="8">
        <f t="shared" si="8"/>
        <v>1431238</v>
      </c>
      <c r="G34" s="207">
        <f t="shared" si="2"/>
        <v>3952989</v>
      </c>
      <c r="H34" s="514">
        <v>3952989</v>
      </c>
      <c r="I34" s="84">
        <f t="shared" si="10"/>
        <v>2201316</v>
      </c>
      <c r="J34" s="514">
        <v>2201316</v>
      </c>
      <c r="K34" s="84">
        <f t="shared" si="9"/>
        <v>4252526</v>
      </c>
      <c r="L34" s="514">
        <v>4252526</v>
      </c>
      <c r="M34" s="8"/>
      <c r="N34" s="8">
        <f t="shared" si="12"/>
        <v>0</v>
      </c>
      <c r="O34" s="70"/>
      <c r="P34" s="70"/>
      <c r="Q34" s="70"/>
      <c r="R34" s="70"/>
      <c r="S34" s="70">
        <f t="shared" si="4"/>
        <v>0</v>
      </c>
      <c r="T34" s="70"/>
      <c r="U34" s="70"/>
      <c r="V34" s="8"/>
      <c r="W34" s="8"/>
      <c r="X34" s="8"/>
      <c r="Y34" s="35">
        <f t="shared" si="0"/>
        <v>10406831</v>
      </c>
      <c r="Z34" s="36">
        <f t="shared" si="1"/>
        <v>11838069</v>
      </c>
      <c r="AA34" s="143">
        <f t="shared" si="13"/>
        <v>12.090130577883944</v>
      </c>
      <c r="AB34" s="46">
        <f t="shared" si="5"/>
        <v>1431238</v>
      </c>
      <c r="AC34" s="38">
        <f t="shared" si="6"/>
        <v>1256992</v>
      </c>
      <c r="AD34" s="38">
        <v>174246</v>
      </c>
      <c r="AF34" s="159">
        <v>1431238</v>
      </c>
      <c r="AG34" s="2">
        <v>1189158</v>
      </c>
      <c r="AI34" s="2">
        <v>1159847</v>
      </c>
      <c r="AJ34" s="23">
        <f t="shared" si="7"/>
        <v>1159847</v>
      </c>
    </row>
    <row r="35" spans="1:36" ht="15">
      <c r="A35" s="5"/>
      <c r="B35" s="7" t="s">
        <v>47</v>
      </c>
      <c r="C35" s="5">
        <v>4</v>
      </c>
      <c r="D35" s="70">
        <f aca="true" t="shared" si="14" ref="D35:Z35">SUM(D9:D34)</f>
        <v>92428456</v>
      </c>
      <c r="E35" s="8"/>
      <c r="F35" s="8">
        <f t="shared" si="14"/>
        <v>92428456</v>
      </c>
      <c r="G35" s="84">
        <f t="shared" si="14"/>
        <v>186444871</v>
      </c>
      <c r="H35" s="8">
        <f>SUM(H9:H34)</f>
        <v>186444871</v>
      </c>
      <c r="I35" s="84">
        <f>SUM(I9:I34)</f>
        <v>145966703</v>
      </c>
      <c r="J35" s="94">
        <f t="shared" si="14"/>
        <v>145966703</v>
      </c>
      <c r="K35" s="8">
        <f t="shared" si="14"/>
        <v>62736503</v>
      </c>
      <c r="L35" s="8">
        <f t="shared" si="14"/>
        <v>41624260</v>
      </c>
      <c r="M35" s="8">
        <f>SUM(M9:M34)</f>
        <v>21112243</v>
      </c>
      <c r="N35" s="84">
        <f t="shared" si="14"/>
        <v>121485711</v>
      </c>
      <c r="O35" s="70">
        <f t="shared" si="14"/>
        <v>0</v>
      </c>
      <c r="P35" s="515">
        <f t="shared" si="14"/>
        <v>102803335</v>
      </c>
      <c r="Q35" s="70">
        <f t="shared" si="14"/>
        <v>6277988</v>
      </c>
      <c r="R35" s="70">
        <f>SUM(R9:R34)</f>
        <v>12404388</v>
      </c>
      <c r="S35" s="70">
        <f t="shared" si="14"/>
        <v>34741956</v>
      </c>
      <c r="T35" s="70">
        <f t="shared" si="14"/>
        <v>34741956</v>
      </c>
      <c r="U35" s="70">
        <f>SUM(U9:U34)</f>
        <v>0</v>
      </c>
      <c r="V35" s="8">
        <f t="shared" si="14"/>
        <v>33916364</v>
      </c>
      <c r="W35" s="8">
        <f t="shared" si="14"/>
        <v>4233154</v>
      </c>
      <c r="X35" s="8"/>
      <c r="Y35" s="8">
        <f t="shared" si="14"/>
        <v>589525262</v>
      </c>
      <c r="Z35" s="8">
        <f t="shared" si="14"/>
        <v>681953718</v>
      </c>
      <c r="AA35" s="143">
        <f t="shared" si="13"/>
        <v>13.553479299309283</v>
      </c>
      <c r="AB35" s="8">
        <f aca="true" t="shared" si="15" ref="AB35:AG35">SUM(AB9:AB34)</f>
        <v>92428456</v>
      </c>
      <c r="AC35" s="324">
        <f t="shared" si="15"/>
        <v>61586840</v>
      </c>
      <c r="AD35" s="8">
        <f t="shared" si="15"/>
        <v>30841616</v>
      </c>
      <c r="AE35" s="8">
        <f t="shared" si="15"/>
        <v>0</v>
      </c>
      <c r="AF35" s="8">
        <f t="shared" si="15"/>
        <v>92428456</v>
      </c>
      <c r="AG35" s="32">
        <f t="shared" si="15"/>
        <v>59376593</v>
      </c>
      <c r="AJ35" s="23"/>
    </row>
    <row r="36" spans="1:36" ht="14.25">
      <c r="A36" s="4">
        <v>27</v>
      </c>
      <c r="B36" s="3" t="s">
        <v>48</v>
      </c>
      <c r="C36" s="4"/>
      <c r="D36" s="70"/>
      <c r="E36" s="70">
        <v>2413677</v>
      </c>
      <c r="F36" s="8">
        <f t="shared" si="8"/>
        <v>2413677</v>
      </c>
      <c r="G36" s="10">
        <f t="shared" si="2"/>
        <v>10028752</v>
      </c>
      <c r="H36" s="514">
        <v>10028752</v>
      </c>
      <c r="I36" s="8">
        <f t="shared" si="10"/>
        <v>9108542</v>
      </c>
      <c r="J36" s="514">
        <v>9108542</v>
      </c>
      <c r="K36" s="8">
        <f>L36+M36</f>
        <v>3778488</v>
      </c>
      <c r="L36" s="514">
        <v>3778488</v>
      </c>
      <c r="M36" s="8"/>
      <c r="N36" s="8">
        <f>O36+P36+Q36</f>
        <v>5376543</v>
      </c>
      <c r="O36" s="70"/>
      <c r="P36" s="514">
        <v>5376543</v>
      </c>
      <c r="Q36" s="70"/>
      <c r="R36" s="70"/>
      <c r="S36" s="70">
        <f t="shared" si="4"/>
        <v>0</v>
      </c>
      <c r="T36" s="70"/>
      <c r="U36" s="70"/>
      <c r="V36" s="8"/>
      <c r="W36" s="8"/>
      <c r="X36" s="8"/>
      <c r="Y36" s="35">
        <f>G36+I36+K36+N36+S36+V36+W36+X36</f>
        <v>28292325</v>
      </c>
      <c r="Z36" s="36">
        <f>Y36+F36</f>
        <v>30706002</v>
      </c>
      <c r="AA36" s="143">
        <f t="shared" si="13"/>
        <v>0</v>
      </c>
      <c r="AE36" s="23">
        <f>E36</f>
        <v>2413677</v>
      </c>
      <c r="AF36" s="159">
        <f>AE36+Y36</f>
        <v>30706002</v>
      </c>
      <c r="AI36" s="2">
        <v>6475228</v>
      </c>
      <c r="AJ36" s="23">
        <f>AI36-S36</f>
        <v>6475228</v>
      </c>
    </row>
    <row r="37" spans="1:36" ht="14.25">
      <c r="A37" s="4">
        <v>28</v>
      </c>
      <c r="B37" s="3" t="s">
        <v>49</v>
      </c>
      <c r="C37" s="4"/>
      <c r="D37" s="70"/>
      <c r="E37" s="70">
        <v>953664</v>
      </c>
      <c r="F37" s="8">
        <f t="shared" si="8"/>
        <v>953664</v>
      </c>
      <c r="G37" s="10">
        <f t="shared" si="2"/>
        <v>4366132</v>
      </c>
      <c r="H37" s="514">
        <v>4366132</v>
      </c>
      <c r="I37" s="8">
        <f t="shared" si="10"/>
        <v>7113051</v>
      </c>
      <c r="J37" s="514">
        <v>7113051</v>
      </c>
      <c r="K37" s="8">
        <f>L37+M37</f>
        <v>1929080</v>
      </c>
      <c r="L37" s="514">
        <v>1929080</v>
      </c>
      <c r="M37" s="8"/>
      <c r="N37" s="8">
        <f>O37+P37+Q37</f>
        <v>3355450</v>
      </c>
      <c r="O37" s="70"/>
      <c r="P37" s="514">
        <v>3355450</v>
      </c>
      <c r="Q37" s="70"/>
      <c r="R37" s="70"/>
      <c r="S37" s="70">
        <f t="shared" si="4"/>
        <v>0</v>
      </c>
      <c r="T37" s="70"/>
      <c r="U37" s="70"/>
      <c r="V37" s="70"/>
      <c r="W37" s="70"/>
      <c r="X37" s="70">
        <v>2979460</v>
      </c>
      <c r="Y37" s="35">
        <f>G37+I37+K37+N37+S37+V37+W37+X37</f>
        <v>19743173</v>
      </c>
      <c r="Z37" s="36">
        <f>Y37+F37</f>
        <v>20696837</v>
      </c>
      <c r="AA37" s="143">
        <f t="shared" si="13"/>
        <v>0</v>
      </c>
      <c r="AC37" s="158"/>
      <c r="AD37" s="158"/>
      <c r="AE37" s="23">
        <f>E37</f>
        <v>953664</v>
      </c>
      <c r="AF37" s="159">
        <f>AE37+Y37</f>
        <v>20696837</v>
      </c>
      <c r="AG37" s="23"/>
      <c r="AI37" s="23">
        <v>6369439</v>
      </c>
      <c r="AJ37" s="23">
        <f>AI37-S37</f>
        <v>6369439</v>
      </c>
    </row>
    <row r="38" spans="1:35" ht="14.25">
      <c r="A38" s="4"/>
      <c r="B38" s="3" t="s">
        <v>50</v>
      </c>
      <c r="C38" s="4">
        <v>4</v>
      </c>
      <c r="D38" s="70">
        <f aca="true" t="shared" si="16" ref="D38:W38">SUM(D35:D37)</f>
        <v>92428456</v>
      </c>
      <c r="E38" s="70">
        <f t="shared" si="16"/>
        <v>3367341</v>
      </c>
      <c r="F38" s="8">
        <f t="shared" si="16"/>
        <v>95795797</v>
      </c>
      <c r="G38" s="70">
        <f>SUM(G35:G37)</f>
        <v>200839755</v>
      </c>
      <c r="H38" s="70">
        <f>SUM(H35:H37)</f>
        <v>200839755</v>
      </c>
      <c r="I38" s="70">
        <f>SUM(I35:I37)</f>
        <v>162188296</v>
      </c>
      <c r="J38" s="70">
        <f t="shared" si="16"/>
        <v>162188296</v>
      </c>
      <c r="K38" s="8">
        <f t="shared" si="9"/>
        <v>68444071</v>
      </c>
      <c r="L38" s="70">
        <f>SUM(L35:L37)</f>
        <v>47331828</v>
      </c>
      <c r="M38" s="70">
        <f>SUM(M35:M37)</f>
        <v>21112243</v>
      </c>
      <c r="N38" s="70">
        <f t="shared" si="16"/>
        <v>130217704</v>
      </c>
      <c r="O38" s="70">
        <f t="shared" si="16"/>
        <v>0</v>
      </c>
      <c r="P38" s="515">
        <f t="shared" si="16"/>
        <v>111535328</v>
      </c>
      <c r="Q38" s="70">
        <f t="shared" si="16"/>
        <v>6277988</v>
      </c>
      <c r="R38" s="70">
        <f>SUM(R35:R37)</f>
        <v>12404388</v>
      </c>
      <c r="S38" s="70">
        <f t="shared" si="16"/>
        <v>34741956</v>
      </c>
      <c r="T38" s="70">
        <f t="shared" si="16"/>
        <v>34741956</v>
      </c>
      <c r="U38" s="70">
        <f>SUM(U35:U37)</f>
        <v>0</v>
      </c>
      <c r="V38" s="70">
        <f t="shared" si="16"/>
        <v>33916364</v>
      </c>
      <c r="W38" s="70">
        <f t="shared" si="16"/>
        <v>4233154</v>
      </c>
      <c r="X38" s="70">
        <f>SUM(X35:X37)</f>
        <v>2979460</v>
      </c>
      <c r="Y38" s="8">
        <f>SUM(Y35:Y37)</f>
        <v>637560760</v>
      </c>
      <c r="Z38" s="8">
        <f>SUM(Z35:Z37)</f>
        <v>733356557</v>
      </c>
      <c r="AA38" s="143">
        <f t="shared" si="13"/>
        <v>12.603481228572418</v>
      </c>
      <c r="AB38" s="23"/>
      <c r="AC38" s="23"/>
      <c r="AE38" s="8">
        <f>SUM(AE35:AE37)</f>
        <v>3367341</v>
      </c>
      <c r="AF38" s="8">
        <f>SUM(AF35:AF37)</f>
        <v>143831295</v>
      </c>
      <c r="AG38" s="23"/>
      <c r="AI38" s="2">
        <f>SUM(AI10:AI37)</f>
        <v>110806333</v>
      </c>
    </row>
    <row r="39" spans="1:35" ht="15">
      <c r="A39" s="107" t="s">
        <v>51</v>
      </c>
      <c r="B39" s="108"/>
      <c r="C39" s="108"/>
      <c r="D39" s="139">
        <f>D38/Z38*100</f>
        <v>12.603481228572418</v>
      </c>
      <c r="E39" s="139">
        <f>E38/Z38*100</f>
        <v>0.4591683224017318</v>
      </c>
      <c r="F39" s="146">
        <f>F38/Z38*100</f>
        <v>13.06264955097415</v>
      </c>
      <c r="G39" s="139">
        <f>G38/Z38*100</f>
        <v>27.386372029124708</v>
      </c>
      <c r="H39" s="139">
        <f>H38/Z38</f>
        <v>0.27386372029124706</v>
      </c>
      <c r="I39" s="139">
        <f>I38/Z38*100</f>
        <v>22.115885438248014</v>
      </c>
      <c r="J39" s="139">
        <f>J38/Z38*100</f>
        <v>22.115885438248014</v>
      </c>
      <c r="K39" s="139">
        <f>K38/Z38*100</f>
        <v>9.332986846124292</v>
      </c>
      <c r="L39" s="139">
        <f>L38/Z38*100</f>
        <v>6.454135788138866</v>
      </c>
      <c r="M39" s="139">
        <f>M38/Z38*100</f>
        <v>2.8788510579854267</v>
      </c>
      <c r="N39" s="139">
        <f>N38/Z38*100</f>
        <v>17.756397315473922</v>
      </c>
      <c r="O39" s="139">
        <f>O38/Z38</f>
        <v>0</v>
      </c>
      <c r="P39" s="139">
        <f>P38/Z38</f>
        <v>0.15208881264560645</v>
      </c>
      <c r="Q39" s="139">
        <f>Q38/Z38</f>
        <v>0.008560621624059468</v>
      </c>
      <c r="R39" s="139">
        <f>R38/Z38*100</f>
        <v>1.6914538885073334</v>
      </c>
      <c r="S39" s="139">
        <f>S38/Z38*100</f>
        <v>4.73738942788235</v>
      </c>
      <c r="T39" s="139"/>
      <c r="U39" s="139">
        <f>U38/Z38</f>
        <v>0</v>
      </c>
      <c r="V39" s="139">
        <f>V38/Z38*100</f>
        <v>4.624812265774833</v>
      </c>
      <c r="W39" s="139">
        <f>W38/Z38*100</f>
        <v>0.5772299926405375</v>
      </c>
      <c r="X39" s="139">
        <f>X38/Z38*100</f>
        <v>0.40627713375718816</v>
      </c>
      <c r="Y39" s="139">
        <f>Y38/Z38*100</f>
        <v>86.93735044902586</v>
      </c>
      <c r="Z39" s="139">
        <f>Z38/Z38*100</f>
        <v>100</v>
      </c>
      <c r="AA39" s="139"/>
      <c r="AB39" s="23"/>
      <c r="AC39" s="23"/>
      <c r="AF39" s="2">
        <v>257845498</v>
      </c>
      <c r="AI39" s="23"/>
    </row>
    <row r="40" spans="1:27" ht="27.75" customHeight="1" hidden="1">
      <c r="A40" s="112"/>
      <c r="B40" s="115" t="s">
        <v>108</v>
      </c>
      <c r="C40" s="116"/>
      <c r="D40" s="113">
        <f>D35/Z35</f>
        <v>0.13553479299309282</v>
      </c>
      <c r="E40" s="113">
        <f>E35/Z35</f>
        <v>0</v>
      </c>
      <c r="F40" s="113">
        <f>F35/Z35</f>
        <v>0.13553479299309282</v>
      </c>
      <c r="G40" s="113">
        <f>G35/Z35</f>
        <v>0.27339812963670945</v>
      </c>
      <c r="H40" s="113">
        <f>H35/Z35</f>
        <v>0.27339812963670945</v>
      </c>
      <c r="I40" s="113">
        <f>I35/Z35</f>
        <v>0.2140419491048218</v>
      </c>
      <c r="J40" s="113">
        <f>J35/Z35</f>
        <v>0.2140419491048218</v>
      </c>
      <c r="K40" s="113">
        <f>K35/Z35</f>
        <v>0.0919952503287034</v>
      </c>
      <c r="L40" s="113">
        <f>L35/Z35</f>
        <v>0.06103678138462763</v>
      </c>
      <c r="M40" s="113"/>
      <c r="N40" s="113">
        <f>N35/Z35</f>
        <v>0.17814363026905589</v>
      </c>
      <c r="O40" s="113">
        <f>O35/Z35</f>
        <v>0</v>
      </c>
      <c r="P40" s="113">
        <f>P35/Z35</f>
        <v>0.1507482579631599</v>
      </c>
      <c r="Q40" s="113">
        <f>Q35/Z35</f>
        <v>0.009205885728450562</v>
      </c>
      <c r="R40" s="113">
        <f>R35/Z35</f>
        <v>0.018189486577445423</v>
      </c>
      <c r="S40" s="113"/>
      <c r="T40" s="113">
        <f>T35/Z35</f>
        <v>0.05094474167820286</v>
      </c>
      <c r="U40" s="113"/>
      <c r="V40" s="113"/>
      <c r="W40" s="113"/>
      <c r="X40" s="113" t="e">
        <f>X35/AE35</f>
        <v>#DIV/0!</v>
      </c>
      <c r="Y40" s="113">
        <f>Y35/Z35</f>
        <v>0.8644652070069072</v>
      </c>
      <c r="Z40" s="113">
        <f>Z35/Z35</f>
        <v>1</v>
      </c>
      <c r="AA40" s="144"/>
    </row>
    <row r="41" spans="1:32" ht="14.25">
      <c r="A41" s="101"/>
      <c r="B41" s="117"/>
      <c r="C41" s="117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40"/>
      <c r="AC41" s="23"/>
      <c r="AF41" s="23">
        <f>AF39-AF38</f>
        <v>114014203</v>
      </c>
    </row>
    <row r="42" spans="1:31" ht="14.25">
      <c r="A42" s="107" t="str">
        <f>'Anne-5'!A42</f>
        <v>Conn. As on 31.12.2013</v>
      </c>
      <c r="B42" s="108"/>
      <c r="C42" s="118">
        <v>4</v>
      </c>
      <c r="D42" s="8">
        <v>93988482</v>
      </c>
      <c r="E42" s="8">
        <v>3463202</v>
      </c>
      <c r="F42" s="8">
        <v>97451684</v>
      </c>
      <c r="G42" s="8">
        <v>198406537</v>
      </c>
      <c r="H42" s="8">
        <v>198406537</v>
      </c>
      <c r="I42" s="8">
        <v>160407964</v>
      </c>
      <c r="J42" s="8">
        <v>160407964</v>
      </c>
      <c r="K42" s="8">
        <v>66911830</v>
      </c>
      <c r="L42" s="8">
        <v>46296911</v>
      </c>
      <c r="M42" s="8">
        <v>20614919</v>
      </c>
      <c r="N42" s="8">
        <v>128685043</v>
      </c>
      <c r="O42" s="8">
        <v>0</v>
      </c>
      <c r="P42" s="526">
        <v>110173971</v>
      </c>
      <c r="Q42" s="8">
        <v>6176803</v>
      </c>
      <c r="R42" s="8">
        <v>12334269</v>
      </c>
      <c r="S42" s="8">
        <v>34883877</v>
      </c>
      <c r="T42" s="8">
        <v>34883877</v>
      </c>
      <c r="U42" s="8">
        <v>0</v>
      </c>
      <c r="V42" s="8">
        <v>32780881</v>
      </c>
      <c r="W42" s="8">
        <v>3969562</v>
      </c>
      <c r="X42" s="8">
        <v>3007612</v>
      </c>
      <c r="Y42" s="35">
        <v>629053306</v>
      </c>
      <c r="Z42" s="36">
        <v>726504990</v>
      </c>
      <c r="AA42" s="143">
        <f>(D42)/Z42*100</f>
        <v>12.937073150729494</v>
      </c>
      <c r="AC42" s="319"/>
      <c r="AE42" s="23"/>
    </row>
    <row r="43" spans="1:29" ht="14.25">
      <c r="A43" s="107" t="str">
        <f>'Anne-5'!A43</f>
        <v>Addition during January 2014</v>
      </c>
      <c r="B43" s="108"/>
      <c r="C43" s="118">
        <v>10</v>
      </c>
      <c r="D43" s="8">
        <f aca="true" t="shared" si="17" ref="D43:W43">D38-D42</f>
        <v>-1560026</v>
      </c>
      <c r="E43" s="8">
        <f t="shared" si="17"/>
        <v>-95861</v>
      </c>
      <c r="F43" s="8">
        <f t="shared" si="17"/>
        <v>-1655887</v>
      </c>
      <c r="G43" s="8">
        <f t="shared" si="17"/>
        <v>2433218</v>
      </c>
      <c r="H43" s="8">
        <f t="shared" si="17"/>
        <v>2433218</v>
      </c>
      <c r="I43" s="8">
        <f t="shared" si="17"/>
        <v>1780332</v>
      </c>
      <c r="J43" s="8">
        <f t="shared" si="17"/>
        <v>1780332</v>
      </c>
      <c r="K43" s="8">
        <f t="shared" si="17"/>
        <v>1532241</v>
      </c>
      <c r="L43" s="8">
        <f t="shared" si="17"/>
        <v>1034917</v>
      </c>
      <c r="M43" s="8">
        <f t="shared" si="17"/>
        <v>497324</v>
      </c>
      <c r="N43" s="8">
        <f t="shared" si="17"/>
        <v>1532661</v>
      </c>
      <c r="O43" s="526">
        <f t="shared" si="17"/>
        <v>0</v>
      </c>
      <c r="P43" s="8">
        <f t="shared" si="17"/>
        <v>1361357</v>
      </c>
      <c r="Q43" s="8">
        <f t="shared" si="17"/>
        <v>101185</v>
      </c>
      <c r="R43" s="8">
        <f>R38-R42</f>
        <v>70119</v>
      </c>
      <c r="S43" s="8">
        <f t="shared" si="17"/>
        <v>-141921</v>
      </c>
      <c r="T43" s="8">
        <f t="shared" si="17"/>
        <v>-141921</v>
      </c>
      <c r="U43" s="8">
        <f t="shared" si="17"/>
        <v>0</v>
      </c>
      <c r="V43" s="8">
        <f t="shared" si="17"/>
        <v>1135483</v>
      </c>
      <c r="W43" s="8">
        <f t="shared" si="17"/>
        <v>263592</v>
      </c>
      <c r="X43" s="8">
        <f>X38-X42</f>
        <v>-28152</v>
      </c>
      <c r="Y43" s="8">
        <f>Y38-Y42</f>
        <v>8507454</v>
      </c>
      <c r="Z43" s="8">
        <f>Z38-Z42</f>
        <v>6851567</v>
      </c>
      <c r="AA43" s="476" t="s">
        <v>130</v>
      </c>
      <c r="AB43" s="23"/>
      <c r="AC43" s="23"/>
    </row>
    <row r="44" spans="1:30" ht="14.25">
      <c r="A44" s="107" t="str">
        <f>'Anne-5'!A44</f>
        <v>Conn. As on 31.03.2013</v>
      </c>
      <c r="B44" s="110"/>
      <c r="C44" s="4">
        <v>4</v>
      </c>
      <c r="D44" s="8">
        <v>98504812</v>
      </c>
      <c r="E44" s="8">
        <v>4819942</v>
      </c>
      <c r="F44" s="8">
        <v>103324754</v>
      </c>
      <c r="G44" s="8">
        <v>188196071</v>
      </c>
      <c r="H44" s="8">
        <v>188196071</v>
      </c>
      <c r="I44" s="8">
        <v>152353654</v>
      </c>
      <c r="J44" s="8">
        <v>152353654</v>
      </c>
      <c r="K44" s="8">
        <v>60071967</v>
      </c>
      <c r="L44" s="8">
        <v>40991603</v>
      </c>
      <c r="M44" s="8">
        <v>19080364</v>
      </c>
      <c r="N44" s="8">
        <v>121607390</v>
      </c>
      <c r="O44" s="8">
        <v>74045293</v>
      </c>
      <c r="P44" s="8">
        <v>22496430</v>
      </c>
      <c r="Q44" s="8">
        <v>13028259</v>
      </c>
      <c r="R44" s="8">
        <v>12037408</v>
      </c>
      <c r="S44" s="8">
        <v>34657017</v>
      </c>
      <c r="T44" s="8">
        <v>34657017</v>
      </c>
      <c r="U44" s="8">
        <v>0</v>
      </c>
      <c r="V44" s="8">
        <v>31683600</v>
      </c>
      <c r="W44" s="8">
        <v>2009474</v>
      </c>
      <c r="X44" s="8">
        <v>2987976</v>
      </c>
      <c r="Y44" s="8">
        <v>593567149</v>
      </c>
      <c r="Z44" s="8">
        <v>696891903</v>
      </c>
      <c r="AA44" s="145">
        <f>(D44)/Z44*100</f>
        <v>14.134876811734173</v>
      </c>
      <c r="AD44" s="23"/>
    </row>
    <row r="45" spans="1:30" ht="14.25">
      <c r="A45" s="107" t="str">
        <f>'Anne-5'!A45</f>
        <v>Addition during 2013-14</v>
      </c>
      <c r="B45" s="108"/>
      <c r="C45" s="4">
        <v>10</v>
      </c>
      <c r="D45" s="8">
        <f>D38-D44</f>
        <v>-6076356</v>
      </c>
      <c r="E45" s="526">
        <f aca="true" t="shared" si="18" ref="E45:Z45">E38-E44</f>
        <v>-1452601</v>
      </c>
      <c r="F45" s="8">
        <f t="shared" si="18"/>
        <v>-7528957</v>
      </c>
      <c r="G45" s="8">
        <f t="shared" si="18"/>
        <v>12643684</v>
      </c>
      <c r="H45" s="8">
        <f t="shared" si="18"/>
        <v>12643684</v>
      </c>
      <c r="I45" s="8">
        <f t="shared" si="18"/>
        <v>9834642</v>
      </c>
      <c r="J45" s="8">
        <f t="shared" si="18"/>
        <v>9834642</v>
      </c>
      <c r="K45" s="8">
        <f t="shared" si="18"/>
        <v>8372104</v>
      </c>
      <c r="L45" s="8">
        <f t="shared" si="18"/>
        <v>6340225</v>
      </c>
      <c r="M45" s="8">
        <f t="shared" si="18"/>
        <v>2031879</v>
      </c>
      <c r="N45" s="8">
        <f t="shared" si="18"/>
        <v>8610314</v>
      </c>
      <c r="O45" s="526">
        <f t="shared" si="18"/>
        <v>-74045293</v>
      </c>
      <c r="P45" s="8">
        <f t="shared" si="18"/>
        <v>89038898</v>
      </c>
      <c r="Q45" s="8">
        <f t="shared" si="18"/>
        <v>-6750271</v>
      </c>
      <c r="R45" s="8">
        <f>R38-R44</f>
        <v>366980</v>
      </c>
      <c r="S45" s="8">
        <f t="shared" si="18"/>
        <v>84939</v>
      </c>
      <c r="T45" s="8">
        <f t="shared" si="18"/>
        <v>84939</v>
      </c>
      <c r="U45" s="8">
        <f t="shared" si="18"/>
        <v>0</v>
      </c>
      <c r="V45" s="8">
        <f t="shared" si="18"/>
        <v>2232764</v>
      </c>
      <c r="W45" s="8">
        <f t="shared" si="18"/>
        <v>2223680</v>
      </c>
      <c r="X45" s="8">
        <f>X38-X44</f>
        <v>-8516</v>
      </c>
      <c r="Y45" s="8">
        <f t="shared" si="18"/>
        <v>43993611</v>
      </c>
      <c r="Z45" s="8">
        <f t="shared" si="18"/>
        <v>36464654</v>
      </c>
      <c r="AA45" s="476" t="s">
        <v>130</v>
      </c>
      <c r="AB45" s="23"/>
      <c r="AC45" s="23"/>
      <c r="AD45" s="23"/>
    </row>
    <row r="46" spans="2:30" ht="15">
      <c r="B46" s="26"/>
      <c r="C46" s="26"/>
      <c r="T46" s="23"/>
      <c r="U46" s="23"/>
      <c r="Z46" s="23"/>
      <c r="AA46" s="23"/>
      <c r="AC46" s="23"/>
      <c r="AD46" s="23"/>
    </row>
    <row r="47" spans="2:30" ht="15">
      <c r="B47" s="26"/>
      <c r="C47" s="26"/>
      <c r="N47" s="23"/>
      <c r="T47" s="23"/>
      <c r="U47" s="23"/>
      <c r="Z47" s="23"/>
      <c r="AA47" s="23"/>
      <c r="AD47" s="23"/>
    </row>
    <row r="48" spans="2:26" ht="15">
      <c r="B48" s="26"/>
      <c r="C48" s="26"/>
      <c r="D48" s="23"/>
      <c r="E48" s="2">
        <v>2600330</v>
      </c>
      <c r="K48" s="484"/>
      <c r="N48" s="23"/>
      <c r="S48" s="136"/>
      <c r="Z48" s="23"/>
    </row>
    <row r="49" spans="2:29" ht="15">
      <c r="B49" s="26"/>
      <c r="C49" s="26"/>
      <c r="D49" s="23"/>
      <c r="E49" s="2">
        <v>2200554</v>
      </c>
      <c r="K49" s="484"/>
      <c r="S49" s="23"/>
      <c r="T49" s="23"/>
      <c r="Y49" s="23"/>
      <c r="Z49" s="2">
        <v>97172146</v>
      </c>
      <c r="AC49" s="23"/>
    </row>
    <row r="50" spans="2:26" ht="15">
      <c r="B50" s="26"/>
      <c r="C50" s="26"/>
      <c r="E50" s="23">
        <f>E48-E36</f>
        <v>186653</v>
      </c>
      <c r="Z50" s="23">
        <f>Z38-S38-D42+Z49</f>
        <v>701798265</v>
      </c>
    </row>
    <row r="51" spans="5:29" ht="14.25">
      <c r="E51" s="23">
        <f>E49-E37</f>
        <v>1246890</v>
      </c>
      <c r="F51" s="23"/>
      <c r="T51" s="23"/>
      <c r="Z51" s="23"/>
      <c r="AC51" s="2">
        <v>606419943</v>
      </c>
    </row>
    <row r="52" ht="14.25">
      <c r="AC52" s="23">
        <v>28798181</v>
      </c>
    </row>
    <row r="53" spans="29:30" ht="14.25">
      <c r="AC53" s="23">
        <f>SUM(AC51:AC52)</f>
        <v>635218124</v>
      </c>
      <c r="AD53" s="2">
        <v>90234162</v>
      </c>
    </row>
    <row r="54" ht="14.25">
      <c r="AC54" s="23">
        <f>AC53-AD53+D38</f>
        <v>637412418</v>
      </c>
    </row>
  </sheetData>
  <sheetProtection/>
  <mergeCells count="22">
    <mergeCell ref="X7:X8"/>
    <mergeCell ref="W7:W8"/>
    <mergeCell ref="AB6:AD7"/>
    <mergeCell ref="Z6:Z8"/>
    <mergeCell ref="Y6:Y8"/>
    <mergeCell ref="AA6:AA8"/>
    <mergeCell ref="A6:A8"/>
    <mergeCell ref="B6:B8"/>
    <mergeCell ref="M7:M8"/>
    <mergeCell ref="E7:E8"/>
    <mergeCell ref="K7:K8"/>
    <mergeCell ref="F7:F8"/>
    <mergeCell ref="I7:I8"/>
    <mergeCell ref="G7:G8"/>
    <mergeCell ref="C7:C8"/>
    <mergeCell ref="D7:D8"/>
    <mergeCell ref="N7:N8"/>
    <mergeCell ref="U7:U8"/>
    <mergeCell ref="V7:V8"/>
    <mergeCell ref="O7:R7"/>
    <mergeCell ref="S7:S8"/>
    <mergeCell ref="T7:T8"/>
  </mergeCells>
  <conditionalFormatting sqref="AA10:AA38 AA42">
    <cfRule type="top10" priority="1" dxfId="1" stopIfTrue="1" rank="5" bottom="1"/>
    <cfRule type="top10" priority="2" dxfId="0" stopIfTrue="1" rank="5" percent="1"/>
    <cfRule type="top10" priority="3" dxfId="1" stopIfTrue="1" rank="5" bottom="1"/>
    <cfRule type="top10" priority="4" dxfId="0" stopIfTrue="1" rank="5"/>
  </conditionalFormatting>
  <conditionalFormatting sqref="AA10:AA12 AA14:AA17 AA19:AA23 AA25:AA28 AA30:AA34">
    <cfRule type="top10" priority="5" dxfId="1" stopIfTrue="1" rank="5"/>
  </conditionalFormatting>
  <printOptions horizontalCentered="1" verticalCentered="1"/>
  <pageMargins left="0.2362204724409449" right="0.2362204724409449" top="0.2362204724409449" bottom="0.2362204724409449" header="0.5118110236220472" footer="0.5118110236220472"/>
  <pageSetup horizontalDpi="600" verticalDpi="600" orientation="landscape" paperSize="9" scale="73" r:id="rId3"/>
  <colBreaks count="1" manualBreakCount="1">
    <brk id="27" max="6553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80"/>
  <sheetViews>
    <sheetView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3" sqref="H3"/>
    </sheetView>
  </sheetViews>
  <sheetFormatPr defaultColWidth="9.140625" defaultRowHeight="12.75"/>
  <cols>
    <col min="1" max="1" width="6.140625" style="370" customWidth="1"/>
    <col min="2" max="2" width="24.140625" style="370" customWidth="1"/>
    <col min="3" max="3" width="6.7109375" style="370" customWidth="1"/>
    <col min="4" max="4" width="12.140625" style="370" customWidth="1"/>
    <col min="5" max="5" width="10.140625" style="370" customWidth="1"/>
    <col min="6" max="6" width="12.00390625" style="370" customWidth="1"/>
    <col min="7" max="7" width="10.140625" style="370" customWidth="1"/>
    <col min="8" max="8" width="12.140625" style="370" customWidth="1"/>
    <col min="9" max="9" width="14.28125" style="386" customWidth="1"/>
    <col min="10" max="10" width="14.140625" style="370" customWidth="1"/>
    <col min="11" max="11" width="11.28125" style="370" customWidth="1"/>
    <col min="12" max="12" width="13.00390625" style="370" customWidth="1"/>
    <col min="13" max="14" width="14.28125" style="370" customWidth="1"/>
    <col min="15" max="15" width="11.8515625" style="370" customWidth="1"/>
    <col min="16" max="22" width="11.7109375" style="370" customWidth="1"/>
    <col min="23" max="23" width="10.140625" style="370" bestFit="1" customWidth="1"/>
    <col min="24" max="24" width="9.140625" style="370" customWidth="1"/>
    <col min="25" max="25" width="9.28125" style="370" customWidth="1"/>
    <col min="26" max="26" width="11.7109375" style="370" bestFit="1" customWidth="1"/>
    <col min="27" max="27" width="10.7109375" style="370" bestFit="1" customWidth="1"/>
    <col min="28" max="28" width="11.421875" style="370" customWidth="1"/>
    <col min="29" max="16384" width="9.140625" style="370" customWidth="1"/>
  </cols>
  <sheetData>
    <row r="1" ht="15.75">
      <c r="N1" s="29" t="s">
        <v>135</v>
      </c>
    </row>
    <row r="2" spans="2:9" ht="15">
      <c r="B2" s="26" t="str">
        <f>'Anne-6'!B2</f>
        <v>No. 1-2(1)/Market Share/2013-CP&amp;M </v>
      </c>
      <c r="C2" s="26"/>
      <c r="D2" s="26"/>
      <c r="E2" s="26"/>
      <c r="F2" s="26"/>
      <c r="G2" s="26"/>
      <c r="H2" s="26"/>
      <c r="I2" s="26"/>
    </row>
    <row r="4" spans="2:3" ht="15.75">
      <c r="B4" s="29" t="s">
        <v>279</v>
      </c>
      <c r="C4" s="29"/>
    </row>
    <row r="5" spans="4:12" ht="15">
      <c r="D5" s="370">
        <v>1</v>
      </c>
      <c r="G5" s="370">
        <v>2</v>
      </c>
      <c r="I5" s="386">
        <v>3</v>
      </c>
      <c r="J5" s="370">
        <v>4</v>
      </c>
      <c r="K5" s="370">
        <v>5</v>
      </c>
      <c r="L5" s="370">
        <v>6</v>
      </c>
    </row>
    <row r="6" spans="1:22" ht="15" customHeight="1">
      <c r="A6" s="625" t="s">
        <v>19</v>
      </c>
      <c r="B6" s="625" t="s">
        <v>20</v>
      </c>
      <c r="C6" s="700" t="s">
        <v>118</v>
      </c>
      <c r="D6" s="704" t="s">
        <v>105</v>
      </c>
      <c r="E6" s="704"/>
      <c r="F6" s="704"/>
      <c r="G6" s="704"/>
      <c r="H6" s="704"/>
      <c r="I6" s="703" t="s">
        <v>199</v>
      </c>
      <c r="J6" s="703"/>
      <c r="K6" s="703"/>
      <c r="L6" s="703"/>
      <c r="M6" s="703"/>
      <c r="N6" s="708" t="s">
        <v>80</v>
      </c>
      <c r="O6" s="700" t="s">
        <v>120</v>
      </c>
      <c r="P6" s="613" t="s">
        <v>97</v>
      </c>
      <c r="Q6" s="625"/>
      <c r="R6" s="625"/>
      <c r="S6" s="625"/>
      <c r="T6" s="625"/>
      <c r="U6" s="625"/>
      <c r="V6" s="387"/>
    </row>
    <row r="7" spans="1:22" ht="18.75" customHeight="1">
      <c r="A7" s="625"/>
      <c r="B7" s="625"/>
      <c r="C7" s="701"/>
      <c r="D7" s="705" t="s">
        <v>1</v>
      </c>
      <c r="E7" s="705"/>
      <c r="F7" s="705"/>
      <c r="G7" s="706" t="s">
        <v>2</v>
      </c>
      <c r="H7" s="703" t="s">
        <v>89</v>
      </c>
      <c r="I7" s="707" t="s">
        <v>58</v>
      </c>
      <c r="J7" s="705" t="s">
        <v>59</v>
      </c>
      <c r="K7" s="711" t="s">
        <v>201</v>
      </c>
      <c r="L7" s="705" t="s">
        <v>202</v>
      </c>
      <c r="M7" s="709" t="s">
        <v>61</v>
      </c>
      <c r="N7" s="708"/>
      <c r="O7" s="701"/>
      <c r="P7" s="613" t="s">
        <v>98</v>
      </c>
      <c r="Q7" s="625"/>
      <c r="R7" s="625"/>
      <c r="S7" s="625" t="s">
        <v>6</v>
      </c>
      <c r="T7" s="625"/>
      <c r="U7" s="625"/>
      <c r="V7" s="387"/>
    </row>
    <row r="8" spans="1:22" ht="33.75" customHeight="1">
      <c r="A8" s="625"/>
      <c r="B8" s="625"/>
      <c r="C8" s="702"/>
      <c r="D8" s="412" t="s">
        <v>98</v>
      </c>
      <c r="E8" s="412" t="s">
        <v>6</v>
      </c>
      <c r="F8" s="412" t="s">
        <v>47</v>
      </c>
      <c r="G8" s="706"/>
      <c r="H8" s="703"/>
      <c r="I8" s="707"/>
      <c r="J8" s="705"/>
      <c r="K8" s="712"/>
      <c r="L8" s="705"/>
      <c r="M8" s="710"/>
      <c r="N8" s="708"/>
      <c r="O8" s="702"/>
      <c r="P8" s="53" t="s">
        <v>47</v>
      </c>
      <c r="Q8" s="459" t="s">
        <v>87</v>
      </c>
      <c r="R8" s="459" t="s">
        <v>88</v>
      </c>
      <c r="S8" s="460" t="s">
        <v>47</v>
      </c>
      <c r="T8" s="459" t="s">
        <v>87</v>
      </c>
      <c r="U8" s="459" t="s">
        <v>88</v>
      </c>
      <c r="V8" s="137"/>
    </row>
    <row r="9" spans="1:27" ht="17.25" customHeight="1">
      <c r="A9" s="388">
        <v>1</v>
      </c>
      <c r="B9" s="389" t="s">
        <v>21</v>
      </c>
      <c r="C9" s="389"/>
      <c r="D9" s="22"/>
      <c r="E9" s="22"/>
      <c r="F9" s="22"/>
      <c r="G9" s="21"/>
      <c r="H9" s="21"/>
      <c r="I9" s="33"/>
      <c r="J9" s="33"/>
      <c r="K9" s="33"/>
      <c r="L9" s="33"/>
      <c r="M9" s="21"/>
      <c r="N9" s="21"/>
      <c r="O9" s="103"/>
      <c r="P9" s="390">
        <f>Q9+R9</f>
        <v>4936</v>
      </c>
      <c r="Q9" s="485">
        <v>2100</v>
      </c>
      <c r="R9" s="391">
        <v>2836</v>
      </c>
      <c r="S9" s="391">
        <f>T9+U9</f>
        <v>6970</v>
      </c>
      <c r="T9" s="391">
        <v>5386</v>
      </c>
      <c r="U9" s="391">
        <v>1584</v>
      </c>
      <c r="V9" s="392"/>
      <c r="W9" s="316">
        <v>11628</v>
      </c>
      <c r="X9" s="316"/>
      <c r="Z9" s="393"/>
      <c r="AA9" s="393"/>
    </row>
    <row r="10" spans="1:28" ht="15">
      <c r="A10" s="388">
        <v>2</v>
      </c>
      <c r="B10" s="389" t="s">
        <v>22</v>
      </c>
      <c r="C10" s="394">
        <v>3</v>
      </c>
      <c r="D10" s="413">
        <f>P10</f>
        <v>70690</v>
      </c>
      <c r="E10" s="413">
        <f>S10</f>
        <v>5467</v>
      </c>
      <c r="F10" s="413">
        <f>D10+E10</f>
        <v>76157</v>
      </c>
      <c r="G10" s="414"/>
      <c r="H10" s="414">
        <f>F10+G10</f>
        <v>76157</v>
      </c>
      <c r="I10" s="415">
        <v>5907659</v>
      </c>
      <c r="J10" s="415">
        <v>6480147</v>
      </c>
      <c r="K10" s="415"/>
      <c r="L10" s="415"/>
      <c r="M10" s="414">
        <f>I10+K10+J10+L10</f>
        <v>12387806</v>
      </c>
      <c r="N10" s="414">
        <f>M10+H10</f>
        <v>12463963</v>
      </c>
      <c r="O10" s="141">
        <f>F10/N10*100</f>
        <v>0.6110175391245946</v>
      </c>
      <c r="P10" s="395">
        <f aca="true" t="shared" si="0" ref="P10:P34">Q10+R10</f>
        <v>70690</v>
      </c>
      <c r="Q10" s="485">
        <v>14735</v>
      </c>
      <c r="R10" s="391">
        <v>55955</v>
      </c>
      <c r="S10" s="184">
        <f aca="true" t="shared" si="1" ref="S10:S23">T10+U10</f>
        <v>5467</v>
      </c>
      <c r="T10" s="391">
        <v>3198</v>
      </c>
      <c r="U10" s="391">
        <v>2269</v>
      </c>
      <c r="V10" s="392"/>
      <c r="W10" s="316">
        <v>87835</v>
      </c>
      <c r="Z10" s="393"/>
      <c r="AA10" s="393"/>
      <c r="AB10" s="393"/>
    </row>
    <row r="11" spans="1:28" ht="15">
      <c r="A11" s="388">
        <v>3</v>
      </c>
      <c r="B11" s="389" t="s">
        <v>23</v>
      </c>
      <c r="C11" s="394">
        <v>1</v>
      </c>
      <c r="D11" s="413">
        <f>P11</f>
        <v>86130</v>
      </c>
      <c r="E11" s="413">
        <f>S11</f>
        <v>9498</v>
      </c>
      <c r="F11" s="413">
        <f aca="true" t="shared" si="2" ref="F11:F34">D11+E11</f>
        <v>95628</v>
      </c>
      <c r="G11" s="414"/>
      <c r="H11" s="414">
        <f aca="true" t="shared" si="3" ref="H11:H37">F11+G11</f>
        <v>95628</v>
      </c>
      <c r="I11" s="3"/>
      <c r="J11" s="415"/>
      <c r="K11" s="415"/>
      <c r="L11" s="415"/>
      <c r="M11" s="414">
        <f aca="true" t="shared" si="4" ref="M11:M33">I11+K11+J11+L11</f>
        <v>0</v>
      </c>
      <c r="N11" s="414">
        <f aca="true" t="shared" si="5" ref="N11:N37">M11+H11</f>
        <v>95628</v>
      </c>
      <c r="O11" s="141">
        <f aca="true" t="shared" si="6" ref="O11:O35">F11/N11*100</f>
        <v>100</v>
      </c>
      <c r="P11" s="395">
        <f t="shared" si="0"/>
        <v>86130</v>
      </c>
      <c r="Q11" s="485">
        <v>3057</v>
      </c>
      <c r="R11" s="391">
        <v>83073</v>
      </c>
      <c r="S11" s="184">
        <f t="shared" si="1"/>
        <v>9498</v>
      </c>
      <c r="T11" s="391">
        <v>432</v>
      </c>
      <c r="U11" s="391">
        <v>9066</v>
      </c>
      <c r="V11" s="392"/>
      <c r="W11" s="316">
        <v>93350</v>
      </c>
      <c r="X11" s="393"/>
      <c r="Z11" s="393"/>
      <c r="AA11" s="393"/>
      <c r="AB11" s="393"/>
    </row>
    <row r="12" spans="1:28" ht="15">
      <c r="A12" s="388">
        <v>4</v>
      </c>
      <c r="B12" s="389" t="s">
        <v>24</v>
      </c>
      <c r="C12" s="394">
        <v>3</v>
      </c>
      <c r="D12" s="413">
        <f>P12+P18</f>
        <v>200899</v>
      </c>
      <c r="E12" s="413">
        <f>S12+S18</f>
        <v>4035</v>
      </c>
      <c r="F12" s="413">
        <f t="shared" si="2"/>
        <v>204934</v>
      </c>
      <c r="G12" s="414"/>
      <c r="H12" s="414">
        <f t="shared" si="3"/>
        <v>204934</v>
      </c>
      <c r="I12" s="74">
        <f>9165549-'Anne-6'!S12</f>
        <v>3274317</v>
      </c>
      <c r="J12" s="415">
        <v>2876605</v>
      </c>
      <c r="K12" s="415"/>
      <c r="L12" s="415"/>
      <c r="M12" s="414">
        <f t="shared" si="4"/>
        <v>6150922</v>
      </c>
      <c r="N12" s="414">
        <f t="shared" si="5"/>
        <v>6355856</v>
      </c>
      <c r="O12" s="141">
        <f t="shared" si="6"/>
        <v>3.224333590943533</v>
      </c>
      <c r="P12" s="395">
        <f t="shared" si="0"/>
        <v>111749</v>
      </c>
      <c r="Q12" s="485">
        <v>6129</v>
      </c>
      <c r="R12" s="391">
        <v>105620</v>
      </c>
      <c r="S12" s="184">
        <f t="shared" si="1"/>
        <v>2467</v>
      </c>
      <c r="T12" s="391">
        <v>1931</v>
      </c>
      <c r="U12" s="391">
        <v>536</v>
      </c>
      <c r="V12" s="392"/>
      <c r="W12" s="316">
        <v>113895</v>
      </c>
      <c r="X12" s="393"/>
      <c r="Z12" s="393"/>
      <c r="AA12" s="393"/>
      <c r="AB12" s="393"/>
    </row>
    <row r="13" spans="1:28" ht="15">
      <c r="A13" s="388">
        <v>5</v>
      </c>
      <c r="B13" s="389" t="s">
        <v>25</v>
      </c>
      <c r="C13" s="394"/>
      <c r="D13" s="413"/>
      <c r="E13" s="413"/>
      <c r="F13" s="413"/>
      <c r="G13" s="414"/>
      <c r="H13" s="414"/>
      <c r="I13" s="3"/>
      <c r="J13" s="415"/>
      <c r="K13" s="415"/>
      <c r="L13" s="415"/>
      <c r="M13" s="414"/>
      <c r="N13" s="414"/>
      <c r="O13" s="141"/>
      <c r="P13" s="395">
        <f t="shared" si="0"/>
        <v>105411</v>
      </c>
      <c r="Q13" s="485">
        <v>24077</v>
      </c>
      <c r="R13" s="391">
        <v>81334</v>
      </c>
      <c r="S13" s="184">
        <f t="shared" si="1"/>
        <v>7984</v>
      </c>
      <c r="T13" s="391">
        <v>2601</v>
      </c>
      <c r="U13" s="391">
        <v>5383</v>
      </c>
      <c r="V13" s="392"/>
      <c r="W13" s="316">
        <v>117846</v>
      </c>
      <c r="X13" s="393"/>
      <c r="Z13" s="393"/>
      <c r="AA13" s="393"/>
      <c r="AB13" s="393"/>
    </row>
    <row r="14" spans="1:28" ht="15">
      <c r="A14" s="388">
        <v>6</v>
      </c>
      <c r="B14" s="389" t="s">
        <v>26</v>
      </c>
      <c r="C14" s="394">
        <v>4</v>
      </c>
      <c r="D14" s="413">
        <f>P14</f>
        <v>83815</v>
      </c>
      <c r="E14" s="413">
        <f>S14</f>
        <v>19836</v>
      </c>
      <c r="F14" s="413">
        <f t="shared" si="2"/>
        <v>103651</v>
      </c>
      <c r="G14" s="414"/>
      <c r="H14" s="414">
        <f t="shared" si="3"/>
        <v>103651</v>
      </c>
      <c r="I14" s="415">
        <v>6729465</v>
      </c>
      <c r="J14" s="415">
        <v>2845111</v>
      </c>
      <c r="K14" s="415"/>
      <c r="L14" s="415">
        <v>177527</v>
      </c>
      <c r="M14" s="414">
        <f t="shared" si="4"/>
        <v>9752103</v>
      </c>
      <c r="N14" s="414">
        <f t="shared" si="5"/>
        <v>9855754</v>
      </c>
      <c r="O14" s="141">
        <f t="shared" si="6"/>
        <v>1.0516800642548505</v>
      </c>
      <c r="P14" s="395">
        <f t="shared" si="0"/>
        <v>83815</v>
      </c>
      <c r="Q14" s="485">
        <v>19110</v>
      </c>
      <c r="R14" s="391">
        <v>64705</v>
      </c>
      <c r="S14" s="184">
        <f>T14+U14</f>
        <v>19836</v>
      </c>
      <c r="T14" s="391">
        <v>18637</v>
      </c>
      <c r="U14" s="391">
        <v>1199</v>
      </c>
      <c r="V14" s="392"/>
      <c r="W14" s="316">
        <v>111649</v>
      </c>
      <c r="X14" s="393"/>
      <c r="Z14" s="393"/>
      <c r="AA14" s="393"/>
      <c r="AB14" s="393"/>
    </row>
    <row r="15" spans="1:28" ht="15">
      <c r="A15" s="388">
        <v>7</v>
      </c>
      <c r="B15" s="389" t="s">
        <v>27</v>
      </c>
      <c r="C15" s="394">
        <v>3</v>
      </c>
      <c r="D15" s="413">
        <f>P15</f>
        <v>15568</v>
      </c>
      <c r="E15" s="413">
        <f>S15</f>
        <v>1363</v>
      </c>
      <c r="F15" s="413">
        <f t="shared" si="2"/>
        <v>16931</v>
      </c>
      <c r="G15" s="414"/>
      <c r="H15" s="414">
        <f t="shared" si="3"/>
        <v>16931</v>
      </c>
      <c r="I15" s="415">
        <v>2191074</v>
      </c>
      <c r="J15" s="415">
        <v>2664330</v>
      </c>
      <c r="K15" s="415"/>
      <c r="L15" s="415"/>
      <c r="M15" s="414">
        <f t="shared" si="4"/>
        <v>4855404</v>
      </c>
      <c r="N15" s="414">
        <f t="shared" si="5"/>
        <v>4872335</v>
      </c>
      <c r="O15" s="141">
        <f t="shared" si="6"/>
        <v>0.3474925266838179</v>
      </c>
      <c r="P15" s="395">
        <f t="shared" si="0"/>
        <v>15568</v>
      </c>
      <c r="Q15" s="485">
        <v>1713</v>
      </c>
      <c r="R15" s="391">
        <v>13855</v>
      </c>
      <c r="S15" s="184">
        <f t="shared" si="1"/>
        <v>1363</v>
      </c>
      <c r="T15" s="396">
        <v>1280</v>
      </c>
      <c r="U15" s="391">
        <v>83</v>
      </c>
      <c r="V15" s="392"/>
      <c r="W15" s="316">
        <v>19541</v>
      </c>
      <c r="X15" s="393"/>
      <c r="Z15" s="393"/>
      <c r="AA15" s="393"/>
      <c r="AB15" s="393"/>
    </row>
    <row r="16" spans="1:28" ht="18" customHeight="1">
      <c r="A16" s="388">
        <v>8</v>
      </c>
      <c r="B16" s="389" t="s">
        <v>28</v>
      </c>
      <c r="C16" s="394">
        <v>2</v>
      </c>
      <c r="D16" s="413">
        <f>P16</f>
        <v>51444</v>
      </c>
      <c r="E16" s="413">
        <f>S16</f>
        <v>655</v>
      </c>
      <c r="F16" s="413">
        <f t="shared" si="2"/>
        <v>52099</v>
      </c>
      <c r="G16" s="414"/>
      <c r="H16" s="414">
        <f t="shared" si="3"/>
        <v>52099</v>
      </c>
      <c r="I16" s="3"/>
      <c r="J16" s="415">
        <v>131411</v>
      </c>
      <c r="K16" s="415"/>
      <c r="L16" s="415"/>
      <c r="M16" s="414">
        <f t="shared" si="4"/>
        <v>131411</v>
      </c>
      <c r="N16" s="414">
        <f t="shared" si="5"/>
        <v>183510</v>
      </c>
      <c r="O16" s="141">
        <f t="shared" si="6"/>
        <v>28.390278458939566</v>
      </c>
      <c r="P16" s="395">
        <f t="shared" si="0"/>
        <v>51444</v>
      </c>
      <c r="Q16" s="485">
        <v>2327</v>
      </c>
      <c r="R16" s="391">
        <v>49117</v>
      </c>
      <c r="S16" s="184">
        <f t="shared" si="1"/>
        <v>655</v>
      </c>
      <c r="T16" s="391">
        <v>100</v>
      </c>
      <c r="U16" s="391">
        <v>555</v>
      </c>
      <c r="V16" s="392"/>
      <c r="W16" s="316">
        <v>54745</v>
      </c>
      <c r="X16" s="393"/>
      <c r="Z16" s="393"/>
      <c r="AA16" s="393"/>
      <c r="AB16" s="393"/>
    </row>
    <row r="17" spans="1:28" ht="17.25" customHeight="1">
      <c r="A17" s="388">
        <v>9</v>
      </c>
      <c r="B17" s="389" t="s">
        <v>29</v>
      </c>
      <c r="C17" s="394">
        <v>2</v>
      </c>
      <c r="D17" s="413">
        <f>P17</f>
        <v>63217</v>
      </c>
      <c r="E17" s="413">
        <f>S17</f>
        <v>446</v>
      </c>
      <c r="F17" s="413">
        <f t="shared" si="2"/>
        <v>63663</v>
      </c>
      <c r="G17" s="414"/>
      <c r="H17" s="414">
        <f t="shared" si="3"/>
        <v>63663</v>
      </c>
      <c r="I17" s="415">
        <v>714878</v>
      </c>
      <c r="J17" s="415"/>
      <c r="K17" s="415"/>
      <c r="L17" s="415"/>
      <c r="M17" s="414">
        <f t="shared" si="4"/>
        <v>714878</v>
      </c>
      <c r="N17" s="414">
        <f t="shared" si="5"/>
        <v>778541</v>
      </c>
      <c r="O17" s="141">
        <f t="shared" si="6"/>
        <v>8.177218669280101</v>
      </c>
      <c r="P17" s="395">
        <f t="shared" si="0"/>
        <v>63217</v>
      </c>
      <c r="Q17" s="485">
        <v>39167</v>
      </c>
      <c r="R17" s="391">
        <v>24050</v>
      </c>
      <c r="S17" s="184">
        <f t="shared" si="1"/>
        <v>446</v>
      </c>
      <c r="T17" s="391">
        <v>134</v>
      </c>
      <c r="U17" s="391">
        <v>312</v>
      </c>
      <c r="V17" s="392"/>
      <c r="W17" s="316">
        <v>67415</v>
      </c>
      <c r="X17" s="393"/>
      <c r="Z17" s="393"/>
      <c r="AA17" s="393"/>
      <c r="AB17" s="393"/>
    </row>
    <row r="18" spans="1:28" ht="15">
      <c r="A18" s="388">
        <v>10</v>
      </c>
      <c r="B18" s="389" t="s">
        <v>30</v>
      </c>
      <c r="C18" s="394"/>
      <c r="D18" s="413"/>
      <c r="E18" s="413"/>
      <c r="F18" s="413"/>
      <c r="G18" s="414"/>
      <c r="H18" s="414"/>
      <c r="I18" s="3"/>
      <c r="J18" s="415"/>
      <c r="K18" s="415"/>
      <c r="L18" s="415"/>
      <c r="M18" s="414"/>
      <c r="N18" s="414"/>
      <c r="O18" s="141"/>
      <c r="P18" s="395">
        <f t="shared" si="0"/>
        <v>89150</v>
      </c>
      <c r="Q18" s="485">
        <v>17402</v>
      </c>
      <c r="R18" s="391">
        <v>71748</v>
      </c>
      <c r="S18" s="184">
        <f t="shared" si="1"/>
        <v>1568</v>
      </c>
      <c r="T18" s="391">
        <v>1568</v>
      </c>
      <c r="U18" s="391">
        <v>0</v>
      </c>
      <c r="V18" s="392"/>
      <c r="W18" s="316">
        <v>100246</v>
      </c>
      <c r="X18" s="393"/>
      <c r="Z18" s="393"/>
      <c r="AA18" s="393"/>
      <c r="AB18" s="393"/>
    </row>
    <row r="19" spans="1:28" ht="15">
      <c r="A19" s="388">
        <v>11</v>
      </c>
      <c r="B19" s="389" t="s">
        <v>31</v>
      </c>
      <c r="C19" s="394">
        <v>4</v>
      </c>
      <c r="D19" s="413">
        <f>P19</f>
        <v>127887</v>
      </c>
      <c r="E19" s="413">
        <f>S19</f>
        <v>10560</v>
      </c>
      <c r="F19" s="413">
        <f t="shared" si="2"/>
        <v>138447</v>
      </c>
      <c r="G19" s="414"/>
      <c r="H19" s="414">
        <f t="shared" si="3"/>
        <v>138447</v>
      </c>
      <c r="I19" s="415">
        <v>6411962</v>
      </c>
      <c r="J19" s="415">
        <v>5903442</v>
      </c>
      <c r="K19" s="415"/>
      <c r="L19" s="415">
        <v>1881588</v>
      </c>
      <c r="M19" s="414">
        <f t="shared" si="4"/>
        <v>14196992</v>
      </c>
      <c r="N19" s="414">
        <f t="shared" si="5"/>
        <v>14335439</v>
      </c>
      <c r="O19" s="141">
        <f t="shared" si="6"/>
        <v>0.9657674243530318</v>
      </c>
      <c r="P19" s="395">
        <f t="shared" si="0"/>
        <v>127887</v>
      </c>
      <c r="Q19" s="485">
        <v>24644</v>
      </c>
      <c r="R19" s="391">
        <v>103243</v>
      </c>
      <c r="S19" s="184">
        <f>T19+U19</f>
        <v>10560</v>
      </c>
      <c r="T19" s="391">
        <v>7113</v>
      </c>
      <c r="U19" s="391">
        <v>3447</v>
      </c>
      <c r="V19" s="392"/>
      <c r="W19" s="316">
        <v>150711</v>
      </c>
      <c r="X19" s="393"/>
      <c r="Z19" s="393"/>
      <c r="AA19" s="393"/>
      <c r="AB19" s="393"/>
    </row>
    <row r="20" spans="1:28" ht="15">
      <c r="A20" s="388">
        <v>12</v>
      </c>
      <c r="B20" s="389" t="s">
        <v>32</v>
      </c>
      <c r="C20" s="394">
        <v>4</v>
      </c>
      <c r="D20" s="413">
        <f>P20</f>
        <v>265181</v>
      </c>
      <c r="E20" s="413">
        <f>S20</f>
        <v>3701</v>
      </c>
      <c r="F20" s="413">
        <f t="shared" si="2"/>
        <v>268882</v>
      </c>
      <c r="G20" s="414"/>
      <c r="H20" s="414">
        <f t="shared" si="3"/>
        <v>268882</v>
      </c>
      <c r="I20" s="415">
        <v>2195624</v>
      </c>
      <c r="J20" s="415">
        <v>1663978</v>
      </c>
      <c r="K20" s="415"/>
      <c r="L20" s="415">
        <v>428749</v>
      </c>
      <c r="M20" s="414">
        <f t="shared" si="4"/>
        <v>4288351</v>
      </c>
      <c r="N20" s="414">
        <f t="shared" si="5"/>
        <v>4557233</v>
      </c>
      <c r="O20" s="141">
        <f t="shared" si="6"/>
        <v>5.900115267312424</v>
      </c>
      <c r="P20" s="395">
        <f t="shared" si="0"/>
        <v>265181</v>
      </c>
      <c r="Q20" s="485">
        <v>36948</v>
      </c>
      <c r="R20" s="391">
        <v>228233</v>
      </c>
      <c r="S20" s="184">
        <f t="shared" si="1"/>
        <v>3701</v>
      </c>
      <c r="T20" s="391">
        <v>1957</v>
      </c>
      <c r="U20" s="391">
        <v>1744</v>
      </c>
      <c r="V20" s="392"/>
      <c r="W20" s="316">
        <v>270565</v>
      </c>
      <c r="X20" s="393"/>
      <c r="Z20" s="393"/>
      <c r="AA20" s="393"/>
      <c r="AB20" s="393"/>
    </row>
    <row r="21" spans="1:28" ht="15">
      <c r="A21" s="388">
        <v>13</v>
      </c>
      <c r="B21" s="389" t="s">
        <v>33</v>
      </c>
      <c r="C21" s="394">
        <v>3</v>
      </c>
      <c r="D21" s="413">
        <f>P21+P13</f>
        <v>175581</v>
      </c>
      <c r="E21" s="413">
        <f>S21+S13</f>
        <v>12525</v>
      </c>
      <c r="F21" s="413">
        <f t="shared" si="2"/>
        <v>188106</v>
      </c>
      <c r="G21" s="414"/>
      <c r="H21" s="414">
        <f t="shared" si="3"/>
        <v>188106</v>
      </c>
      <c r="I21" s="74">
        <f>12829812-'Anne-6'!S21</f>
        <v>4516108</v>
      </c>
      <c r="J21" s="415">
        <v>4038015</v>
      </c>
      <c r="K21" s="415"/>
      <c r="L21" s="415"/>
      <c r="M21" s="414">
        <f t="shared" si="4"/>
        <v>8554123</v>
      </c>
      <c r="N21" s="414">
        <f t="shared" si="5"/>
        <v>8742229</v>
      </c>
      <c r="O21" s="141">
        <f t="shared" si="6"/>
        <v>2.1516938071514713</v>
      </c>
      <c r="P21" s="395">
        <f t="shared" si="0"/>
        <v>70170</v>
      </c>
      <c r="Q21" s="485">
        <v>18533</v>
      </c>
      <c r="R21" s="391">
        <v>51637</v>
      </c>
      <c r="S21" s="184">
        <f t="shared" si="1"/>
        <v>4541</v>
      </c>
      <c r="T21" s="391">
        <v>4167</v>
      </c>
      <c r="U21" s="391">
        <v>374</v>
      </c>
      <c r="V21" s="392"/>
      <c r="W21" s="316">
        <v>87969</v>
      </c>
      <c r="X21" s="393"/>
      <c r="Z21" s="393"/>
      <c r="AA21" s="393"/>
      <c r="AB21" s="393"/>
    </row>
    <row r="22" spans="1:28" ht="15">
      <c r="A22" s="388">
        <v>14</v>
      </c>
      <c r="B22" s="389" t="s">
        <v>34</v>
      </c>
      <c r="C22" s="394">
        <v>3</v>
      </c>
      <c r="D22" s="413">
        <f>P22</f>
        <v>124476</v>
      </c>
      <c r="E22" s="413">
        <f>S22</f>
        <v>2705</v>
      </c>
      <c r="F22" s="413">
        <f t="shared" si="2"/>
        <v>127181</v>
      </c>
      <c r="G22" s="414"/>
      <c r="H22" s="414">
        <f t="shared" si="3"/>
        <v>127181</v>
      </c>
      <c r="I22" s="415">
        <v>7389820</v>
      </c>
      <c r="J22" s="415">
        <v>6222818</v>
      </c>
      <c r="K22" s="415"/>
      <c r="L22" s="415"/>
      <c r="M22" s="414">
        <f t="shared" si="4"/>
        <v>13612638</v>
      </c>
      <c r="N22" s="414">
        <f t="shared" si="5"/>
        <v>13739819</v>
      </c>
      <c r="O22" s="141">
        <f t="shared" si="6"/>
        <v>0.9256381033840402</v>
      </c>
      <c r="P22" s="395">
        <f t="shared" si="0"/>
        <v>124476</v>
      </c>
      <c r="Q22" s="485">
        <v>35210</v>
      </c>
      <c r="R22" s="391">
        <v>89266</v>
      </c>
      <c r="S22" s="184">
        <f t="shared" si="1"/>
        <v>2705</v>
      </c>
      <c r="T22" s="391">
        <v>2190</v>
      </c>
      <c r="U22" s="391">
        <v>515</v>
      </c>
      <c r="V22" s="392"/>
      <c r="W22" s="316">
        <v>140777</v>
      </c>
      <c r="X22" s="393"/>
      <c r="Z22" s="393"/>
      <c r="AA22" s="393"/>
      <c r="AB22" s="393"/>
    </row>
    <row r="23" spans="1:28" ht="15">
      <c r="A23" s="388">
        <v>15</v>
      </c>
      <c r="B23" s="389" t="s">
        <v>35</v>
      </c>
      <c r="C23" s="394">
        <v>1</v>
      </c>
      <c r="D23" s="413">
        <f>P23+P24</f>
        <v>149935</v>
      </c>
      <c r="E23" s="413">
        <f>S23+S24</f>
        <v>3235</v>
      </c>
      <c r="F23" s="413">
        <f t="shared" si="2"/>
        <v>153170</v>
      </c>
      <c r="G23" s="414"/>
      <c r="H23" s="414">
        <f t="shared" si="3"/>
        <v>153170</v>
      </c>
      <c r="I23" s="3"/>
      <c r="J23" s="415"/>
      <c r="K23" s="415"/>
      <c r="L23" s="415"/>
      <c r="M23" s="414">
        <f t="shared" si="4"/>
        <v>0</v>
      </c>
      <c r="N23" s="414">
        <f t="shared" si="5"/>
        <v>153170</v>
      </c>
      <c r="O23" s="141">
        <f t="shared" si="6"/>
        <v>100</v>
      </c>
      <c r="P23" s="395">
        <f t="shared" si="0"/>
        <v>67112</v>
      </c>
      <c r="Q23" s="485">
        <v>790</v>
      </c>
      <c r="R23" s="391">
        <v>66322</v>
      </c>
      <c r="S23" s="184">
        <f t="shared" si="1"/>
        <v>382</v>
      </c>
      <c r="T23" s="391">
        <v>44</v>
      </c>
      <c r="U23" s="391">
        <v>338</v>
      </c>
      <c r="V23" s="392"/>
      <c r="W23" s="316">
        <v>68355</v>
      </c>
      <c r="X23" s="393"/>
      <c r="Z23" s="393"/>
      <c r="AA23" s="393"/>
      <c r="AB23" s="393"/>
    </row>
    <row r="24" spans="1:28" ht="15">
      <c r="A24" s="388">
        <v>16</v>
      </c>
      <c r="B24" s="389" t="s">
        <v>36</v>
      </c>
      <c r="C24" s="394"/>
      <c r="D24" s="413"/>
      <c r="E24" s="413"/>
      <c r="F24" s="413"/>
      <c r="G24" s="414"/>
      <c r="H24" s="414"/>
      <c r="I24" s="3"/>
      <c r="J24" s="415"/>
      <c r="K24" s="415"/>
      <c r="L24" s="415"/>
      <c r="M24" s="414"/>
      <c r="N24" s="414"/>
      <c r="O24" s="141"/>
      <c r="P24" s="395">
        <f t="shared" si="0"/>
        <v>82823</v>
      </c>
      <c r="Q24" s="485">
        <v>36254</v>
      </c>
      <c r="R24" s="391">
        <v>46569</v>
      </c>
      <c r="S24" s="184">
        <f aca="true" t="shared" si="7" ref="S24:S34">T24+U24</f>
        <v>2853</v>
      </c>
      <c r="T24" s="391">
        <v>2513</v>
      </c>
      <c r="U24" s="391">
        <v>340</v>
      </c>
      <c r="V24" s="392"/>
      <c r="W24" s="316">
        <v>82857</v>
      </c>
      <c r="X24" s="393"/>
      <c r="Z24" s="393"/>
      <c r="AA24" s="393"/>
      <c r="AB24" s="393"/>
    </row>
    <row r="25" spans="1:28" ht="15">
      <c r="A25" s="388">
        <v>17</v>
      </c>
      <c r="B25" s="389" t="s">
        <v>37</v>
      </c>
      <c r="C25" s="394">
        <v>2</v>
      </c>
      <c r="D25" s="413">
        <f>P25</f>
        <v>57785</v>
      </c>
      <c r="E25" s="413">
        <f>S25</f>
        <v>0</v>
      </c>
      <c r="F25" s="413">
        <f t="shared" si="2"/>
        <v>57785</v>
      </c>
      <c r="G25" s="414"/>
      <c r="H25" s="414">
        <f t="shared" si="3"/>
        <v>57785</v>
      </c>
      <c r="I25" s="3"/>
      <c r="J25" s="415">
        <v>2015488</v>
      </c>
      <c r="K25" s="415"/>
      <c r="L25" s="415"/>
      <c r="M25" s="414">
        <f t="shared" si="4"/>
        <v>2015488</v>
      </c>
      <c r="N25" s="414">
        <f t="shared" si="5"/>
        <v>2073273</v>
      </c>
      <c r="O25" s="141">
        <f t="shared" si="6"/>
        <v>2.7871389826617143</v>
      </c>
      <c r="P25" s="395">
        <f t="shared" si="0"/>
        <v>57785</v>
      </c>
      <c r="Q25" s="485">
        <v>22163</v>
      </c>
      <c r="R25" s="391">
        <v>35622</v>
      </c>
      <c r="S25" s="184">
        <f t="shared" si="7"/>
        <v>0</v>
      </c>
      <c r="T25" s="391">
        <v>0</v>
      </c>
      <c r="U25" s="391">
        <v>0</v>
      </c>
      <c r="V25" s="392"/>
      <c r="W25" s="316">
        <v>63390</v>
      </c>
      <c r="X25" s="393"/>
      <c r="Z25" s="393"/>
      <c r="AA25" s="393"/>
      <c r="AB25" s="393"/>
    </row>
    <row r="26" spans="1:28" ht="15">
      <c r="A26" s="388">
        <v>18</v>
      </c>
      <c r="B26" s="389" t="s">
        <v>38</v>
      </c>
      <c r="C26" s="394">
        <v>4</v>
      </c>
      <c r="D26" s="413">
        <f>P26</f>
        <v>16295</v>
      </c>
      <c r="E26" s="413">
        <f>S26</f>
        <v>16403</v>
      </c>
      <c r="F26" s="413">
        <f t="shared" si="2"/>
        <v>32698</v>
      </c>
      <c r="G26" s="414"/>
      <c r="H26" s="414">
        <f t="shared" si="3"/>
        <v>32698</v>
      </c>
      <c r="I26" s="415">
        <v>2963345</v>
      </c>
      <c r="J26" s="415">
        <v>2464452</v>
      </c>
      <c r="K26" s="415">
        <v>2023743</v>
      </c>
      <c r="L26" s="415"/>
      <c r="M26" s="414">
        <f t="shared" si="4"/>
        <v>7451540</v>
      </c>
      <c r="N26" s="414">
        <f t="shared" si="5"/>
        <v>7484238</v>
      </c>
      <c r="O26" s="141">
        <f t="shared" si="6"/>
        <v>0.4368915045192309</v>
      </c>
      <c r="P26" s="395">
        <f t="shared" si="0"/>
        <v>16295</v>
      </c>
      <c r="Q26" s="485">
        <v>2583</v>
      </c>
      <c r="R26" s="391">
        <v>13712</v>
      </c>
      <c r="S26" s="184">
        <f t="shared" si="7"/>
        <v>16403</v>
      </c>
      <c r="T26" s="397">
        <v>12195</v>
      </c>
      <c r="U26" s="391">
        <v>4208</v>
      </c>
      <c r="V26" s="392"/>
      <c r="W26" s="316">
        <v>37377</v>
      </c>
      <c r="X26" s="393"/>
      <c r="Z26" s="393"/>
      <c r="AA26" s="393"/>
      <c r="AB26" s="393"/>
    </row>
    <row r="27" spans="1:28" ht="15">
      <c r="A27" s="388">
        <v>19</v>
      </c>
      <c r="B27" s="389" t="s">
        <v>39</v>
      </c>
      <c r="C27" s="394">
        <v>4</v>
      </c>
      <c r="D27" s="413">
        <f>P27</f>
        <v>151018</v>
      </c>
      <c r="E27" s="413">
        <f>S27</f>
        <v>7864</v>
      </c>
      <c r="F27" s="413">
        <f t="shared" si="2"/>
        <v>158882</v>
      </c>
      <c r="G27" s="414"/>
      <c r="H27" s="414">
        <f t="shared" si="3"/>
        <v>158882</v>
      </c>
      <c r="I27" s="415">
        <v>5936615</v>
      </c>
      <c r="J27" s="415">
        <v>2153652</v>
      </c>
      <c r="K27" s="415"/>
      <c r="L27" s="415">
        <v>2252647</v>
      </c>
      <c r="M27" s="414">
        <f t="shared" si="4"/>
        <v>10342914</v>
      </c>
      <c r="N27" s="414">
        <f t="shared" si="5"/>
        <v>10501796</v>
      </c>
      <c r="O27" s="141">
        <f t="shared" si="6"/>
        <v>1.5129031262843042</v>
      </c>
      <c r="P27" s="395">
        <f t="shared" si="0"/>
        <v>151018</v>
      </c>
      <c r="Q27" s="485">
        <v>23315</v>
      </c>
      <c r="R27" s="391">
        <v>127703</v>
      </c>
      <c r="S27" s="184">
        <f t="shared" si="7"/>
        <v>7864</v>
      </c>
      <c r="T27" s="391">
        <v>6587</v>
      </c>
      <c r="U27" s="391">
        <v>1277</v>
      </c>
      <c r="V27" s="392"/>
      <c r="W27" s="316">
        <v>173898</v>
      </c>
      <c r="X27" s="393"/>
      <c r="Z27" s="393"/>
      <c r="AA27" s="393"/>
      <c r="AB27" s="393"/>
    </row>
    <row r="28" spans="1:28" ht="15">
      <c r="A28" s="388">
        <v>20</v>
      </c>
      <c r="B28" s="389" t="s">
        <v>40</v>
      </c>
      <c r="C28" s="394">
        <v>4</v>
      </c>
      <c r="D28" s="413">
        <f>P28</f>
        <v>79220</v>
      </c>
      <c r="E28" s="413">
        <f>S28</f>
        <v>5893</v>
      </c>
      <c r="F28" s="413">
        <f t="shared" si="2"/>
        <v>85113</v>
      </c>
      <c r="G28" s="414"/>
      <c r="H28" s="414">
        <f t="shared" si="3"/>
        <v>85113</v>
      </c>
      <c r="I28" s="415">
        <v>6106341</v>
      </c>
      <c r="J28" s="415">
        <v>4008725</v>
      </c>
      <c r="K28" s="415"/>
      <c r="L28" s="415">
        <v>1069983</v>
      </c>
      <c r="M28" s="414">
        <f t="shared" si="4"/>
        <v>11185049</v>
      </c>
      <c r="N28" s="414">
        <f t="shared" si="5"/>
        <v>11270162</v>
      </c>
      <c r="O28" s="141">
        <f t="shared" si="6"/>
        <v>0.7552065356292128</v>
      </c>
      <c r="P28" s="395">
        <f t="shared" si="0"/>
        <v>79220</v>
      </c>
      <c r="Q28" s="485">
        <v>2860</v>
      </c>
      <c r="R28" s="391">
        <v>76360</v>
      </c>
      <c r="S28" s="184">
        <f t="shared" si="7"/>
        <v>5893</v>
      </c>
      <c r="T28" s="391">
        <v>4618</v>
      </c>
      <c r="U28" s="391">
        <v>1275</v>
      </c>
      <c r="V28" s="392"/>
      <c r="W28" s="316">
        <v>95686</v>
      </c>
      <c r="X28" s="393"/>
      <c r="Z28" s="393"/>
      <c r="AA28" s="393"/>
      <c r="AB28" s="393"/>
    </row>
    <row r="29" spans="1:28" ht="15">
      <c r="A29" s="388">
        <v>21</v>
      </c>
      <c r="B29" s="389" t="s">
        <v>41</v>
      </c>
      <c r="C29" s="394"/>
      <c r="D29" s="413"/>
      <c r="E29" s="413"/>
      <c r="F29" s="413"/>
      <c r="G29" s="414"/>
      <c r="H29" s="414"/>
      <c r="I29" s="3"/>
      <c r="J29" s="415"/>
      <c r="K29" s="415"/>
      <c r="L29" s="415"/>
      <c r="M29" s="414"/>
      <c r="N29" s="414"/>
      <c r="O29" s="141"/>
      <c r="P29" s="395">
        <f t="shared" si="0"/>
        <v>40298</v>
      </c>
      <c r="Q29" s="485">
        <v>184</v>
      </c>
      <c r="R29" s="391">
        <v>40114</v>
      </c>
      <c r="S29" s="184">
        <f t="shared" si="7"/>
        <v>638</v>
      </c>
      <c r="T29" s="397">
        <v>45</v>
      </c>
      <c r="U29" s="391">
        <v>593</v>
      </c>
      <c r="V29" s="392"/>
      <c r="W29" s="316">
        <v>42900</v>
      </c>
      <c r="X29" s="393"/>
      <c r="Z29" s="393"/>
      <c r="AA29" s="393"/>
      <c r="AB29" s="393"/>
    </row>
    <row r="30" spans="1:28" ht="15">
      <c r="A30" s="388">
        <v>22</v>
      </c>
      <c r="B30" s="389" t="s">
        <v>42</v>
      </c>
      <c r="C30" s="394">
        <v>3</v>
      </c>
      <c r="D30" s="413">
        <f>P30</f>
        <v>210559</v>
      </c>
      <c r="E30" s="413">
        <f>S30</f>
        <v>60880</v>
      </c>
      <c r="F30" s="413">
        <f t="shared" si="2"/>
        <v>271439</v>
      </c>
      <c r="G30" s="414"/>
      <c r="H30" s="414">
        <f t="shared" si="3"/>
        <v>271439</v>
      </c>
      <c r="I30" s="415">
        <v>8657965</v>
      </c>
      <c r="J30" s="415">
        <v>4190454</v>
      </c>
      <c r="K30" s="415"/>
      <c r="L30" s="415"/>
      <c r="M30" s="414">
        <f>I30+K30+J30+L30</f>
        <v>12848419</v>
      </c>
      <c r="N30" s="414">
        <f t="shared" si="5"/>
        <v>13119858</v>
      </c>
      <c r="O30" s="141">
        <f t="shared" si="6"/>
        <v>2.0689172093173567</v>
      </c>
      <c r="P30" s="395">
        <f t="shared" si="0"/>
        <v>210559</v>
      </c>
      <c r="Q30" s="485">
        <v>27879</v>
      </c>
      <c r="R30" s="391">
        <v>182680</v>
      </c>
      <c r="S30" s="184">
        <f t="shared" si="7"/>
        <v>60880</v>
      </c>
      <c r="T30" s="398">
        <v>35899</v>
      </c>
      <c r="U30" s="391">
        <v>24981</v>
      </c>
      <c r="V30" s="392"/>
      <c r="W30" s="316">
        <v>403182</v>
      </c>
      <c r="X30" s="393"/>
      <c r="Z30" s="393"/>
      <c r="AA30" s="393"/>
      <c r="AB30" s="393"/>
    </row>
    <row r="31" spans="1:28" ht="15.75" customHeight="1">
      <c r="A31" s="388">
        <v>23</v>
      </c>
      <c r="B31" s="389" t="s">
        <v>43</v>
      </c>
      <c r="C31" s="394">
        <v>4</v>
      </c>
      <c r="D31" s="413">
        <f>P31+P29</f>
        <v>84957</v>
      </c>
      <c r="E31" s="413">
        <f>S31+S29</f>
        <v>2991</v>
      </c>
      <c r="F31" s="413">
        <f t="shared" si="2"/>
        <v>87948</v>
      </c>
      <c r="G31" s="414"/>
      <c r="H31" s="414">
        <f t="shared" si="3"/>
        <v>87948</v>
      </c>
      <c r="I31" s="415">
        <v>5940226</v>
      </c>
      <c r="J31" s="415">
        <v>3616406</v>
      </c>
      <c r="K31" s="415"/>
      <c r="L31" s="415">
        <v>262251</v>
      </c>
      <c r="M31" s="414">
        <f t="shared" si="4"/>
        <v>9818883</v>
      </c>
      <c r="N31" s="414">
        <f t="shared" si="5"/>
        <v>9906831</v>
      </c>
      <c r="O31" s="141">
        <f t="shared" si="6"/>
        <v>0.8877510881128385</v>
      </c>
      <c r="P31" s="395">
        <f t="shared" si="0"/>
        <v>44659</v>
      </c>
      <c r="Q31" s="485">
        <v>12748</v>
      </c>
      <c r="R31" s="391">
        <v>31911</v>
      </c>
      <c r="S31" s="184">
        <f t="shared" si="7"/>
        <v>2353</v>
      </c>
      <c r="T31" s="397">
        <v>797</v>
      </c>
      <c r="U31" s="391">
        <v>1556</v>
      </c>
      <c r="V31" s="392"/>
      <c r="W31" s="316">
        <v>48117</v>
      </c>
      <c r="X31" s="393"/>
      <c r="Z31" s="393"/>
      <c r="AA31" s="393"/>
      <c r="AB31" s="393"/>
    </row>
    <row r="32" spans="1:28" ht="15">
      <c r="A32" s="388">
        <v>24</v>
      </c>
      <c r="B32" s="389" t="s">
        <v>44</v>
      </c>
      <c r="C32" s="394">
        <v>3</v>
      </c>
      <c r="D32" s="413">
        <f>P32+P9</f>
        <v>60750</v>
      </c>
      <c r="E32" s="413">
        <f>S32+S9</f>
        <v>10752</v>
      </c>
      <c r="F32" s="413">
        <f t="shared" si="2"/>
        <v>71502</v>
      </c>
      <c r="G32" s="414"/>
      <c r="H32" s="414">
        <f t="shared" si="3"/>
        <v>71502</v>
      </c>
      <c r="I32" s="415"/>
      <c r="J32" s="415">
        <v>1230701</v>
      </c>
      <c r="K32" s="415"/>
      <c r="L32" s="415">
        <v>1735327</v>
      </c>
      <c r="M32" s="414">
        <f t="shared" si="4"/>
        <v>2966028</v>
      </c>
      <c r="N32" s="414">
        <f t="shared" si="5"/>
        <v>3037530</v>
      </c>
      <c r="O32" s="141">
        <f t="shared" si="6"/>
        <v>2.3539520597327437</v>
      </c>
      <c r="P32" s="395">
        <f t="shared" si="0"/>
        <v>55814</v>
      </c>
      <c r="Q32" s="485">
        <v>-1797</v>
      </c>
      <c r="R32" s="391">
        <v>57611</v>
      </c>
      <c r="S32" s="184">
        <f t="shared" si="7"/>
        <v>3782</v>
      </c>
      <c r="T32" s="391">
        <v>2766</v>
      </c>
      <c r="U32" s="391">
        <v>1016</v>
      </c>
      <c r="V32" s="392"/>
      <c r="W32" s="316">
        <v>58048</v>
      </c>
      <c r="X32" s="393"/>
      <c r="Z32" s="393"/>
      <c r="AA32" s="393"/>
      <c r="AB32" s="393"/>
    </row>
    <row r="33" spans="1:28" ht="15">
      <c r="A33" s="388">
        <v>25</v>
      </c>
      <c r="B33" s="389" t="s">
        <v>45</v>
      </c>
      <c r="C33" s="394">
        <v>3</v>
      </c>
      <c r="D33" s="413">
        <f>P33</f>
        <v>18424</v>
      </c>
      <c r="E33" s="413">
        <f>S33</f>
        <v>2767</v>
      </c>
      <c r="F33" s="413">
        <f t="shared" si="2"/>
        <v>21191</v>
      </c>
      <c r="G33" s="414"/>
      <c r="H33" s="414">
        <f t="shared" si="3"/>
        <v>21191</v>
      </c>
      <c r="I33" s="415"/>
      <c r="J33" s="415">
        <v>2875415</v>
      </c>
      <c r="K33" s="415"/>
      <c r="L33" s="415">
        <v>707942</v>
      </c>
      <c r="M33" s="414">
        <f t="shared" si="4"/>
        <v>3583357</v>
      </c>
      <c r="N33" s="414">
        <f t="shared" si="5"/>
        <v>3604548</v>
      </c>
      <c r="O33" s="141">
        <f t="shared" si="6"/>
        <v>0.5878961800480949</v>
      </c>
      <c r="P33" s="395">
        <f t="shared" si="0"/>
        <v>18424</v>
      </c>
      <c r="Q33" s="485">
        <v>18424</v>
      </c>
      <c r="R33" s="391">
        <v>0</v>
      </c>
      <c r="S33" s="184">
        <f t="shared" si="7"/>
        <v>2767</v>
      </c>
      <c r="T33" s="391">
        <v>2767</v>
      </c>
      <c r="U33" s="391">
        <v>0</v>
      </c>
      <c r="V33" s="392"/>
      <c r="W33" s="316">
        <v>22671</v>
      </c>
      <c r="X33" s="393"/>
      <c r="Z33" s="393"/>
      <c r="AA33" s="393"/>
      <c r="AB33" s="393"/>
    </row>
    <row r="34" spans="1:28" ht="15">
      <c r="A34" s="388">
        <v>26</v>
      </c>
      <c r="B34" s="389" t="s">
        <v>46</v>
      </c>
      <c r="C34" s="394">
        <v>2</v>
      </c>
      <c r="D34" s="413">
        <f>P34</f>
        <v>11625</v>
      </c>
      <c r="E34" s="413">
        <f>S34</f>
        <v>1427</v>
      </c>
      <c r="F34" s="413">
        <f t="shared" si="2"/>
        <v>13052</v>
      </c>
      <c r="G34" s="414"/>
      <c r="H34" s="414">
        <f t="shared" si="3"/>
        <v>13052</v>
      </c>
      <c r="I34" s="415"/>
      <c r="J34" s="415">
        <v>1441569</v>
      </c>
      <c r="K34" s="415"/>
      <c r="L34" s="415"/>
      <c r="M34" s="414">
        <f>I34+K34+J34+L34</f>
        <v>1441569</v>
      </c>
      <c r="N34" s="414">
        <f t="shared" si="5"/>
        <v>1454621</v>
      </c>
      <c r="O34" s="141">
        <f t="shared" si="6"/>
        <v>0.8972783976032245</v>
      </c>
      <c r="P34" s="395">
        <f t="shared" si="0"/>
        <v>11625</v>
      </c>
      <c r="Q34" s="485">
        <v>745</v>
      </c>
      <c r="R34" s="391">
        <v>10880</v>
      </c>
      <c r="S34" s="184">
        <f t="shared" si="7"/>
        <v>1427</v>
      </c>
      <c r="T34" s="391">
        <v>1427</v>
      </c>
      <c r="U34" s="391">
        <v>0</v>
      </c>
      <c r="V34" s="392"/>
      <c r="W34" s="316">
        <v>13828</v>
      </c>
      <c r="X34" s="393"/>
      <c r="Z34" s="393"/>
      <c r="AA34" s="393"/>
      <c r="AB34" s="393"/>
    </row>
    <row r="35" spans="1:28" ht="15.75">
      <c r="A35" s="388"/>
      <c r="B35" s="27" t="s">
        <v>47</v>
      </c>
      <c r="C35" s="388">
        <v>4</v>
      </c>
      <c r="D35" s="416">
        <f>SUM(D9:D34)</f>
        <v>2105456</v>
      </c>
      <c r="E35" s="416">
        <f>SUM(E9:E34)</f>
        <v>183003</v>
      </c>
      <c r="F35" s="416">
        <f>SUM(F9:F34)</f>
        <v>2288459</v>
      </c>
      <c r="G35" s="414">
        <f aca="true" t="shared" si="8" ref="G35:L35">SUM(G9:G34)</f>
        <v>0</v>
      </c>
      <c r="H35" s="414">
        <f t="shared" si="8"/>
        <v>2288459</v>
      </c>
      <c r="I35" s="415">
        <f t="shared" si="8"/>
        <v>68935399</v>
      </c>
      <c r="J35" s="415">
        <f t="shared" si="8"/>
        <v>56822719</v>
      </c>
      <c r="K35" s="415">
        <f t="shared" si="8"/>
        <v>2023743</v>
      </c>
      <c r="L35" s="415">
        <f t="shared" si="8"/>
        <v>8516014</v>
      </c>
      <c r="M35" s="414">
        <f>SUM(M9:M34)</f>
        <v>136297875</v>
      </c>
      <c r="N35" s="414">
        <f>SUM(N9:N34)</f>
        <v>138586334</v>
      </c>
      <c r="O35" s="141">
        <f t="shared" si="6"/>
        <v>1.6512876370623961</v>
      </c>
      <c r="P35" s="395">
        <f aca="true" t="shared" si="9" ref="P35:U35">SUM(P9:P34)</f>
        <v>2105456</v>
      </c>
      <c r="Q35" s="21">
        <f t="shared" si="9"/>
        <v>391300</v>
      </c>
      <c r="R35" s="21">
        <f t="shared" si="9"/>
        <v>1714156</v>
      </c>
      <c r="S35" s="184">
        <f t="shared" si="9"/>
        <v>183003</v>
      </c>
      <c r="T35" s="21">
        <f t="shared" si="9"/>
        <v>120352</v>
      </c>
      <c r="U35" s="184">
        <f t="shared" si="9"/>
        <v>62651</v>
      </c>
      <c r="V35" s="392"/>
      <c r="W35" s="316"/>
      <c r="Z35" s="393"/>
      <c r="AA35" s="393"/>
      <c r="AB35" s="393"/>
    </row>
    <row r="36" spans="1:28" ht="15">
      <c r="A36" s="185">
        <v>27</v>
      </c>
      <c r="B36" s="28" t="s">
        <v>48</v>
      </c>
      <c r="C36" s="185"/>
      <c r="D36" s="414"/>
      <c r="E36" s="414"/>
      <c r="F36" s="414"/>
      <c r="G36" s="414">
        <v>36350</v>
      </c>
      <c r="H36" s="414">
        <f t="shared" si="3"/>
        <v>36350</v>
      </c>
      <c r="I36" s="415">
        <v>7879558</v>
      </c>
      <c r="J36" s="415">
        <v>2893676</v>
      </c>
      <c r="K36" s="415"/>
      <c r="L36" s="415">
        <v>934013</v>
      </c>
      <c r="M36" s="414">
        <f>I36+K36+J36+L36</f>
        <v>11707247</v>
      </c>
      <c r="N36" s="414">
        <f t="shared" si="5"/>
        <v>11743597</v>
      </c>
      <c r="O36" s="421" t="s">
        <v>130</v>
      </c>
      <c r="AB36" s="393"/>
    </row>
    <row r="37" spans="1:28" ht="15">
      <c r="A37" s="185">
        <v>28</v>
      </c>
      <c r="B37" s="28" t="s">
        <v>49</v>
      </c>
      <c r="C37" s="185"/>
      <c r="D37" s="414"/>
      <c r="E37" s="414"/>
      <c r="F37" s="414"/>
      <c r="G37" s="414">
        <v>91508</v>
      </c>
      <c r="H37" s="414">
        <f t="shared" si="3"/>
        <v>91508</v>
      </c>
      <c r="I37" s="415">
        <v>6091998</v>
      </c>
      <c r="J37" s="415">
        <v>3468667</v>
      </c>
      <c r="K37" s="415"/>
      <c r="L37" s="415"/>
      <c r="M37" s="414">
        <f>I37+K37+J37+L37</f>
        <v>9560665</v>
      </c>
      <c r="N37" s="414">
        <f t="shared" si="5"/>
        <v>9652173</v>
      </c>
      <c r="O37" s="421" t="s">
        <v>130</v>
      </c>
      <c r="Q37" s="399"/>
      <c r="R37" s="399"/>
      <c r="S37" s="393"/>
      <c r="T37" s="393"/>
      <c r="U37" s="393"/>
      <c r="Z37" s="393"/>
      <c r="AB37" s="393"/>
    </row>
    <row r="38" spans="1:28" ht="15">
      <c r="A38" s="185"/>
      <c r="B38" s="28" t="s">
        <v>50</v>
      </c>
      <c r="C38" s="185">
        <v>4</v>
      </c>
      <c r="D38" s="414">
        <f aca="true" t="shared" si="10" ref="D38:J38">SUM(D35:D37)</f>
        <v>2105456</v>
      </c>
      <c r="E38" s="414">
        <f t="shared" si="10"/>
        <v>183003</v>
      </c>
      <c r="F38" s="414">
        <f t="shared" si="10"/>
        <v>2288459</v>
      </c>
      <c r="G38" s="414">
        <f t="shared" si="10"/>
        <v>127858</v>
      </c>
      <c r="H38" s="414">
        <f t="shared" si="10"/>
        <v>2416317</v>
      </c>
      <c r="I38" s="415">
        <f t="shared" si="10"/>
        <v>82906955</v>
      </c>
      <c r="J38" s="415">
        <f t="shared" si="10"/>
        <v>63185062</v>
      </c>
      <c r="K38" s="415">
        <f>SUM(K35:K37)</f>
        <v>2023743</v>
      </c>
      <c r="L38" s="415">
        <f>SUM(L35:L37)</f>
        <v>9450027</v>
      </c>
      <c r="M38" s="414">
        <f>SUM(M35:M37)</f>
        <v>157565787</v>
      </c>
      <c r="N38" s="414">
        <f>SUM(N35:N37)</f>
        <v>159982104</v>
      </c>
      <c r="O38" s="141">
        <f>F38/N38*100</f>
        <v>1.4304468704824636</v>
      </c>
      <c r="Q38" s="399"/>
      <c r="S38" s="393"/>
      <c r="T38" s="393"/>
      <c r="U38" s="393"/>
      <c r="Z38" s="393"/>
      <c r="AA38" s="393"/>
      <c r="AB38" s="393"/>
    </row>
    <row r="39" spans="1:28" ht="15">
      <c r="A39" s="28" t="s">
        <v>51</v>
      </c>
      <c r="B39" s="400"/>
      <c r="C39" s="401"/>
      <c r="D39" s="417">
        <f>D38/$N$38*100</f>
        <v>1.3160572009979317</v>
      </c>
      <c r="E39" s="417">
        <f aca="true" t="shared" si="11" ref="E39:N39">E38/$N$38*100</f>
        <v>0.11438966948453183</v>
      </c>
      <c r="F39" s="417">
        <f t="shared" si="11"/>
        <v>1.4304468704824636</v>
      </c>
      <c r="G39" s="417">
        <f t="shared" si="11"/>
        <v>0.07992018907314782</v>
      </c>
      <c r="H39" s="417">
        <f t="shared" si="11"/>
        <v>1.5103670595556113</v>
      </c>
      <c r="I39" s="417">
        <f t="shared" si="11"/>
        <v>51.822643237646126</v>
      </c>
      <c r="J39" s="417">
        <f t="shared" si="11"/>
        <v>39.495081274840594</v>
      </c>
      <c r="K39" s="417">
        <f t="shared" si="11"/>
        <v>1.2649808631095387</v>
      </c>
      <c r="L39" s="417">
        <f t="shared" si="11"/>
        <v>5.906927564848128</v>
      </c>
      <c r="M39" s="417">
        <f t="shared" si="11"/>
        <v>98.4896329404444</v>
      </c>
      <c r="N39" s="417">
        <f t="shared" si="11"/>
        <v>100</v>
      </c>
      <c r="O39" s="402"/>
      <c r="Z39" s="393"/>
      <c r="AA39" s="393"/>
      <c r="AB39" s="393"/>
    </row>
    <row r="40" spans="1:17" ht="15">
      <c r="A40" s="162"/>
      <c r="B40" s="403"/>
      <c r="C40" s="404"/>
      <c r="D40" s="418"/>
      <c r="E40" s="418"/>
      <c r="F40" s="418"/>
      <c r="G40" s="418"/>
      <c r="H40" s="418"/>
      <c r="I40" s="419"/>
      <c r="J40" s="418"/>
      <c r="K40" s="418"/>
      <c r="L40" s="418"/>
      <c r="M40" s="418"/>
      <c r="N40" s="418"/>
      <c r="O40" s="405"/>
      <c r="Q40" s="393"/>
    </row>
    <row r="41" spans="1:15" ht="15">
      <c r="A41" s="28" t="str">
        <f>'Anne-6'!A42</f>
        <v>Conn. As on 31.12.2013</v>
      </c>
      <c r="B41" s="400"/>
      <c r="C41" s="401">
        <v>4</v>
      </c>
      <c r="D41" s="420">
        <v>2122461</v>
      </c>
      <c r="E41" s="414">
        <v>181275</v>
      </c>
      <c r="F41" s="414">
        <v>2303736</v>
      </c>
      <c r="G41" s="420">
        <v>128359</v>
      </c>
      <c r="H41" s="414">
        <v>2432095</v>
      </c>
      <c r="I41" s="415">
        <v>82358675</v>
      </c>
      <c r="J41" s="420">
        <v>63267497</v>
      </c>
      <c r="K41" s="420">
        <v>1957248</v>
      </c>
      <c r="L41" s="420">
        <v>9807039</v>
      </c>
      <c r="M41" s="420">
        <v>157390459</v>
      </c>
      <c r="N41" s="414">
        <v>159822554</v>
      </c>
      <c r="O41" s="151">
        <f>F41/N41*100</f>
        <v>1.441433603920508</v>
      </c>
    </row>
    <row r="42" spans="1:15" ht="15">
      <c r="A42" s="28" t="str">
        <f>'Anne-6'!A43</f>
        <v>Addition during January 2014</v>
      </c>
      <c r="B42" s="406"/>
      <c r="C42" s="407">
        <v>4</v>
      </c>
      <c r="D42" s="420">
        <f>D38-D41</f>
        <v>-17005</v>
      </c>
      <c r="E42" s="420">
        <f>E38-E41</f>
        <v>1728</v>
      </c>
      <c r="F42" s="420">
        <f>F38-F41</f>
        <v>-15277</v>
      </c>
      <c r="G42" s="531">
        <f>G38-G41</f>
        <v>-501</v>
      </c>
      <c r="H42" s="420">
        <f>H38-H41</f>
        <v>-15778</v>
      </c>
      <c r="I42" s="420">
        <f aca="true" t="shared" si="12" ref="I42:N42">I38-I41</f>
        <v>548280</v>
      </c>
      <c r="J42" s="420">
        <f t="shared" si="12"/>
        <v>-82435</v>
      </c>
      <c r="K42" s="420">
        <f t="shared" si="12"/>
        <v>66495</v>
      </c>
      <c r="L42" s="420">
        <f t="shared" si="12"/>
        <v>-357012</v>
      </c>
      <c r="M42" s="420">
        <f>M38-M41</f>
        <v>175328</v>
      </c>
      <c r="N42" s="420">
        <f t="shared" si="12"/>
        <v>159550</v>
      </c>
      <c r="O42" s="462" t="s">
        <v>130</v>
      </c>
    </row>
    <row r="43" spans="1:15" ht="15">
      <c r="A43" s="28" t="str">
        <f>'Anne-6'!A44</f>
        <v>Conn. As on 31.03.2013</v>
      </c>
      <c r="B43" s="406"/>
      <c r="C43" s="407">
        <v>4</v>
      </c>
      <c r="D43" s="414">
        <v>2535881</v>
      </c>
      <c r="E43" s="414">
        <v>165932</v>
      </c>
      <c r="F43" s="414">
        <v>2701813</v>
      </c>
      <c r="G43" s="414">
        <v>180883</v>
      </c>
      <c r="H43" s="414">
        <v>2882696</v>
      </c>
      <c r="I43" s="415">
        <v>88315700</v>
      </c>
      <c r="J43" s="415">
        <v>66416138</v>
      </c>
      <c r="K43" s="415">
        <v>1367658</v>
      </c>
      <c r="L43" s="415">
        <v>11912010</v>
      </c>
      <c r="M43" s="420">
        <v>168011506</v>
      </c>
      <c r="N43" s="414">
        <v>170894202</v>
      </c>
      <c r="O43" s="151">
        <f>F43/N43*100</f>
        <v>1.580985761003173</v>
      </c>
    </row>
    <row r="44" spans="1:15" ht="15">
      <c r="A44" s="28" t="str">
        <f>'Anne-6'!A45</f>
        <v>Addition during 2013-14</v>
      </c>
      <c r="B44" s="408"/>
      <c r="C44" s="409">
        <v>3</v>
      </c>
      <c r="D44" s="420">
        <f>D38-D43</f>
        <v>-430425</v>
      </c>
      <c r="E44" s="420">
        <f>E38-E43</f>
        <v>17071</v>
      </c>
      <c r="F44" s="420">
        <f>F38-F43</f>
        <v>-413354</v>
      </c>
      <c r="G44" s="420">
        <f>G38-G43</f>
        <v>-53025</v>
      </c>
      <c r="H44" s="420">
        <f aca="true" t="shared" si="13" ref="H44:M44">H38-H43</f>
        <v>-466379</v>
      </c>
      <c r="I44" s="420">
        <f t="shared" si="13"/>
        <v>-5408745</v>
      </c>
      <c r="J44" s="420">
        <f t="shared" si="13"/>
        <v>-3231076</v>
      </c>
      <c r="K44" s="420">
        <f t="shared" si="13"/>
        <v>656085</v>
      </c>
      <c r="L44" s="420">
        <f t="shared" si="13"/>
        <v>-2461983</v>
      </c>
      <c r="M44" s="420">
        <f t="shared" si="13"/>
        <v>-10445719</v>
      </c>
      <c r="N44" s="420">
        <f>N38-N43</f>
        <v>-10912098</v>
      </c>
      <c r="O44" s="462" t="s">
        <v>130</v>
      </c>
    </row>
    <row r="45" spans="2:15" ht="15">
      <c r="B45" s="34"/>
      <c r="C45" s="34"/>
      <c r="I45" s="410"/>
      <c r="M45" s="74"/>
      <c r="O45" s="74"/>
    </row>
    <row r="46" spans="2:7" ht="15">
      <c r="B46" s="34"/>
      <c r="C46" s="34"/>
      <c r="D46" s="393"/>
      <c r="E46" s="393"/>
      <c r="F46" s="393"/>
      <c r="G46" s="393"/>
    </row>
    <row r="47" spans="2:9" ht="15">
      <c r="B47" s="34"/>
      <c r="C47" s="34"/>
      <c r="D47" s="393"/>
      <c r="E47" s="393"/>
      <c r="F47" s="393"/>
      <c r="I47" s="411"/>
    </row>
    <row r="48" spans="2:16" ht="15.75">
      <c r="B48" s="34"/>
      <c r="C48" s="34"/>
      <c r="D48" s="393"/>
      <c r="E48" s="393"/>
      <c r="F48" s="393"/>
      <c r="M48" s="393"/>
      <c r="P48" s="29"/>
    </row>
    <row r="49" spans="2:10" ht="15">
      <c r="B49" s="34"/>
      <c r="C49" s="34"/>
      <c r="D49" s="393"/>
      <c r="E49" s="393"/>
      <c r="F49" s="393"/>
      <c r="G49" s="393"/>
      <c r="I49" s="411"/>
      <c r="J49" s="2"/>
    </row>
    <row r="50" ht="15">
      <c r="I50" s="411"/>
    </row>
    <row r="52" spans="11:12" ht="15">
      <c r="K52" s="101"/>
      <c r="L52" s="101"/>
    </row>
    <row r="53" spans="11:12" ht="15">
      <c r="K53" s="101"/>
      <c r="L53" s="32"/>
    </row>
    <row r="54" spans="11:12" ht="15">
      <c r="K54" s="101"/>
      <c r="L54" s="101"/>
    </row>
    <row r="55" spans="11:12" ht="15">
      <c r="K55" s="101"/>
      <c r="L55" s="101"/>
    </row>
    <row r="56" spans="11:12" ht="15">
      <c r="K56" s="101"/>
      <c r="L56" s="101"/>
    </row>
    <row r="57" spans="11:12" ht="15">
      <c r="K57" s="101"/>
      <c r="L57" s="101"/>
    </row>
    <row r="58" spans="11:12" ht="15">
      <c r="K58" s="101"/>
      <c r="L58" s="101"/>
    </row>
    <row r="59" spans="11:12" ht="15">
      <c r="K59" s="101"/>
      <c r="L59" s="101"/>
    </row>
    <row r="60" spans="11:12" ht="15">
      <c r="K60" s="101"/>
      <c r="L60" s="101"/>
    </row>
    <row r="61" spans="11:12" ht="15">
      <c r="K61" s="101"/>
      <c r="L61" s="101"/>
    </row>
    <row r="62" spans="11:12" ht="15">
      <c r="K62" s="101"/>
      <c r="L62" s="101"/>
    </row>
    <row r="63" spans="11:12" ht="15">
      <c r="K63" s="101"/>
      <c r="L63" s="101"/>
    </row>
    <row r="64" spans="11:12" ht="15">
      <c r="K64" s="101"/>
      <c r="L64" s="101"/>
    </row>
    <row r="65" spans="11:12" ht="15">
      <c r="K65" s="101"/>
      <c r="L65" s="101"/>
    </row>
    <row r="66" spans="11:12" ht="15">
      <c r="K66" s="101"/>
      <c r="L66" s="101"/>
    </row>
    <row r="67" spans="11:12" ht="15">
      <c r="K67" s="101"/>
      <c r="L67" s="101"/>
    </row>
    <row r="68" spans="11:12" ht="15">
      <c r="K68" s="101"/>
      <c r="L68" s="101"/>
    </row>
    <row r="69" spans="11:12" ht="15">
      <c r="K69" s="101"/>
      <c r="L69" s="101"/>
    </row>
    <row r="70" spans="11:12" ht="15">
      <c r="K70" s="101"/>
      <c r="L70" s="101"/>
    </row>
    <row r="71" spans="11:12" ht="15">
      <c r="K71" s="101"/>
      <c r="L71" s="101"/>
    </row>
    <row r="72" spans="11:12" ht="15">
      <c r="K72" s="101"/>
      <c r="L72" s="101"/>
    </row>
    <row r="73" spans="11:12" ht="15">
      <c r="K73" s="101"/>
      <c r="L73" s="101"/>
    </row>
    <row r="74" spans="11:12" ht="15">
      <c r="K74" s="101"/>
      <c r="L74" s="101"/>
    </row>
    <row r="75" spans="11:12" ht="15">
      <c r="K75" s="101"/>
      <c r="L75" s="101"/>
    </row>
    <row r="76" spans="11:12" ht="15">
      <c r="K76" s="101"/>
      <c r="L76" s="101"/>
    </row>
    <row r="77" spans="11:12" ht="15">
      <c r="K77" s="101"/>
      <c r="L77" s="101"/>
    </row>
    <row r="78" spans="11:12" ht="15">
      <c r="K78" s="101"/>
      <c r="L78" s="101"/>
    </row>
    <row r="79" spans="11:12" ht="15">
      <c r="K79" s="101"/>
      <c r="L79" s="101"/>
    </row>
    <row r="80" spans="11:12" ht="15">
      <c r="K80" s="101"/>
      <c r="L80" s="101"/>
    </row>
  </sheetData>
  <sheetProtection/>
  <mergeCells count="18">
    <mergeCell ref="I7:I8"/>
    <mergeCell ref="P6:U6"/>
    <mergeCell ref="P7:R7"/>
    <mergeCell ref="S7:U7"/>
    <mergeCell ref="N6:N8"/>
    <mergeCell ref="O6:O8"/>
    <mergeCell ref="M7:M8"/>
    <mergeCell ref="K7:K8"/>
    <mergeCell ref="A6:A8"/>
    <mergeCell ref="B6:B8"/>
    <mergeCell ref="C6:C8"/>
    <mergeCell ref="H7:H8"/>
    <mergeCell ref="D6:H6"/>
    <mergeCell ref="I6:M6"/>
    <mergeCell ref="D7:F7"/>
    <mergeCell ref="G7:G8"/>
    <mergeCell ref="L7:L8"/>
    <mergeCell ref="J7:J8"/>
  </mergeCells>
  <conditionalFormatting sqref="O10:O34">
    <cfRule type="top10" priority="1" dxfId="1" stopIfTrue="1" rank="3" bottom="1"/>
    <cfRule type="top10" priority="2" dxfId="0" stopIfTrue="1" rank="3"/>
  </conditionalFormatting>
  <printOptions horizontalCentered="1" verticalCentered="1"/>
  <pageMargins left="0.2362204724409449" right="0.2362204724409449" top="0.1968503937007874" bottom="0.1968503937007874" header="0.5118110236220472" footer="0.5118110236220472"/>
  <pageSetup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SheetLayoutView="44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2" sqref="I2"/>
    </sheetView>
  </sheetViews>
  <sheetFormatPr defaultColWidth="9.140625" defaultRowHeight="12.75"/>
  <cols>
    <col min="1" max="1" width="6.140625" style="2" customWidth="1"/>
    <col min="2" max="2" width="19.7109375" style="2" customWidth="1"/>
    <col min="3" max="3" width="6.7109375" style="2" customWidth="1"/>
    <col min="4" max="4" width="12.140625" style="2" customWidth="1"/>
    <col min="5" max="5" width="10.140625" style="2" bestFit="1" customWidth="1"/>
    <col min="6" max="6" width="12.140625" style="2" customWidth="1"/>
    <col min="7" max="7" width="13.421875" style="97" hidden="1" customWidth="1"/>
    <col min="8" max="8" width="10.28125" style="2" customWidth="1"/>
    <col min="9" max="9" width="10.57421875" style="2" customWidth="1"/>
    <col min="10" max="10" width="11.8515625" style="2" customWidth="1"/>
    <col min="11" max="11" width="10.140625" style="2" customWidth="1"/>
    <col min="12" max="12" width="10.8515625" style="2" customWidth="1"/>
    <col min="13" max="13" width="8.28125" style="2" customWidth="1"/>
    <col min="14" max="14" width="11.28125" style="2" customWidth="1"/>
    <col min="15" max="15" width="11.57421875" style="2" customWidth="1"/>
    <col min="16" max="16" width="11.00390625" style="2" customWidth="1"/>
    <col min="17" max="17" width="11.8515625" style="2" bestFit="1" customWidth="1"/>
    <col min="18" max="18" width="14.8515625" style="2" bestFit="1" customWidth="1"/>
    <col min="19" max="19" width="10.140625" style="2" bestFit="1" customWidth="1"/>
    <col min="20" max="20" width="13.28125" style="2" customWidth="1"/>
    <col min="21" max="21" width="14.7109375" style="2" customWidth="1"/>
    <col min="22" max="16384" width="9.140625" style="2" customWidth="1"/>
  </cols>
  <sheetData>
    <row r="1" ht="15">
      <c r="O1" s="76" t="s">
        <v>155</v>
      </c>
    </row>
    <row r="2" ht="14.25">
      <c r="B2" s="2" t="str">
        <f>'Anne-7'!B2</f>
        <v>No. 1-2(1)/Market Share/2013-CP&amp;M </v>
      </c>
    </row>
    <row r="3" ht="9" customHeight="1"/>
    <row r="4" spans="2:3" ht="15.75">
      <c r="B4" s="29" t="s">
        <v>280</v>
      </c>
      <c r="C4" s="29"/>
    </row>
    <row r="5" spans="4:14" ht="15">
      <c r="D5" s="90">
        <v>1</v>
      </c>
      <c r="E5" s="90">
        <v>2</v>
      </c>
      <c r="F5" s="90"/>
      <c r="G5" s="98">
        <v>3</v>
      </c>
      <c r="H5" s="90">
        <v>3</v>
      </c>
      <c r="I5" s="90">
        <v>4</v>
      </c>
      <c r="J5" s="90">
        <v>5</v>
      </c>
      <c r="K5" s="90">
        <v>6</v>
      </c>
      <c r="L5" s="90">
        <v>7</v>
      </c>
      <c r="M5" s="90">
        <v>8</v>
      </c>
      <c r="N5" s="54"/>
    </row>
    <row r="6" spans="1:19" ht="14.25">
      <c r="A6" s="608" t="s">
        <v>19</v>
      </c>
      <c r="B6" s="608" t="s">
        <v>20</v>
      </c>
      <c r="C6" s="17" t="s">
        <v>18</v>
      </c>
      <c r="D6" s="111"/>
      <c r="E6" s="18"/>
      <c r="F6" s="18"/>
      <c r="G6" s="99"/>
      <c r="H6" s="18"/>
      <c r="I6" s="18"/>
      <c r="J6" s="18"/>
      <c r="K6" s="18"/>
      <c r="L6" s="18"/>
      <c r="M6" s="18"/>
      <c r="N6" s="18"/>
      <c r="O6" s="19"/>
      <c r="P6" s="700" t="s">
        <v>120</v>
      </c>
      <c r="Q6" s="703" t="s">
        <v>1</v>
      </c>
      <c r="R6" s="703"/>
      <c r="S6" s="703"/>
    </row>
    <row r="7" spans="1:19" ht="12.75" customHeight="1">
      <c r="A7" s="608"/>
      <c r="B7" s="608"/>
      <c r="C7" s="717" t="s">
        <v>118</v>
      </c>
      <c r="D7" s="696" t="s">
        <v>96</v>
      </c>
      <c r="E7" s="716" t="s">
        <v>2</v>
      </c>
      <c r="F7" s="699" t="s">
        <v>52</v>
      </c>
      <c r="G7" s="713" t="s">
        <v>17</v>
      </c>
      <c r="H7" s="681" t="s">
        <v>123</v>
      </c>
      <c r="I7" s="714" t="s">
        <v>15</v>
      </c>
      <c r="J7" s="714" t="s">
        <v>16</v>
      </c>
      <c r="K7" s="719" t="s">
        <v>201</v>
      </c>
      <c r="L7" s="719" t="s">
        <v>202</v>
      </c>
      <c r="M7" s="719" t="s">
        <v>218</v>
      </c>
      <c r="N7" s="720" t="s">
        <v>53</v>
      </c>
      <c r="O7" s="609" t="s">
        <v>57</v>
      </c>
      <c r="P7" s="701"/>
      <c r="Q7" s="703"/>
      <c r="R7" s="703"/>
      <c r="S7" s="703"/>
    </row>
    <row r="8" spans="1:19" ht="48" customHeight="1">
      <c r="A8" s="608"/>
      <c r="B8" s="608"/>
      <c r="C8" s="672"/>
      <c r="D8" s="715"/>
      <c r="E8" s="609"/>
      <c r="F8" s="696"/>
      <c r="G8" s="714"/>
      <c r="H8" s="683"/>
      <c r="I8" s="718"/>
      <c r="J8" s="718"/>
      <c r="K8" s="718"/>
      <c r="L8" s="718"/>
      <c r="M8" s="718"/>
      <c r="N8" s="720"/>
      <c r="O8" s="609"/>
      <c r="P8" s="702"/>
      <c r="Q8" s="52" t="s">
        <v>47</v>
      </c>
      <c r="R8" s="45" t="s">
        <v>87</v>
      </c>
      <c r="S8" s="458" t="s">
        <v>88</v>
      </c>
    </row>
    <row r="9" spans="1:26" ht="14.25" customHeight="1">
      <c r="A9" s="5">
        <v>1</v>
      </c>
      <c r="B9" s="6" t="s">
        <v>21</v>
      </c>
      <c r="C9" s="6"/>
      <c r="D9" s="8"/>
      <c r="E9" s="8"/>
      <c r="F9" s="8">
        <f>SUM(D9:E9)</f>
        <v>0</v>
      </c>
      <c r="G9" s="70"/>
      <c r="H9" s="8"/>
      <c r="I9" s="8"/>
      <c r="J9" s="8"/>
      <c r="K9" s="8"/>
      <c r="L9" s="8"/>
      <c r="M9" s="8"/>
      <c r="N9" s="16"/>
      <c r="O9" s="8">
        <f aca="true" t="shared" si="0" ref="O9:O37">N9+F9</f>
        <v>0</v>
      </c>
      <c r="P9" s="8"/>
      <c r="Q9" s="8">
        <f>R9+S9</f>
        <v>14168</v>
      </c>
      <c r="R9" s="326">
        <v>8353</v>
      </c>
      <c r="S9" s="326">
        <v>5815</v>
      </c>
      <c r="U9" s="2">
        <v>14149</v>
      </c>
      <c r="Z9" s="2">
        <v>85.60482966824058</v>
      </c>
    </row>
    <row r="10" spans="1:26" ht="14.25">
      <c r="A10" s="5">
        <v>2</v>
      </c>
      <c r="B10" s="6" t="s">
        <v>22</v>
      </c>
      <c r="C10" s="85">
        <v>1</v>
      </c>
      <c r="D10" s="8">
        <f>Q10</f>
        <v>1673529</v>
      </c>
      <c r="E10" s="8"/>
      <c r="F10" s="8">
        <f aca="true" t="shared" si="1" ref="F10:F37">SUM(D10:E10)</f>
        <v>1673529</v>
      </c>
      <c r="G10" s="537">
        <v>126021</v>
      </c>
      <c r="H10" s="70">
        <f>G10</f>
        <v>126021</v>
      </c>
      <c r="I10" s="70">
        <v>87591</v>
      </c>
      <c r="J10" s="70">
        <v>167305</v>
      </c>
      <c r="K10" s="8"/>
      <c r="L10" s="8"/>
      <c r="M10" s="8">
        <v>5850</v>
      </c>
      <c r="N10" s="8">
        <f>M10+L10+J10+I10+K10+H10</f>
        <v>386767</v>
      </c>
      <c r="O10" s="8">
        <f t="shared" si="0"/>
        <v>2060296</v>
      </c>
      <c r="P10" s="138">
        <f>D10/O10*100</f>
        <v>81.22760030597546</v>
      </c>
      <c r="Q10" s="8">
        <f aca="true" t="shared" si="2" ref="Q10:Q34">R10+S10</f>
        <v>1673529</v>
      </c>
      <c r="R10" s="326">
        <v>1132654</v>
      </c>
      <c r="S10" s="326">
        <v>540875</v>
      </c>
      <c r="U10" s="2">
        <v>1780858</v>
      </c>
      <c r="Z10" s="2">
        <v>99.80086852457846</v>
      </c>
    </row>
    <row r="11" spans="1:26" ht="14.25">
      <c r="A11" s="5">
        <v>3</v>
      </c>
      <c r="B11" s="6" t="s">
        <v>23</v>
      </c>
      <c r="C11" s="85">
        <v>1</v>
      </c>
      <c r="D11" s="8">
        <f>Q11</f>
        <v>185719</v>
      </c>
      <c r="E11" s="8"/>
      <c r="F11" s="8">
        <f t="shared" si="1"/>
        <v>185719</v>
      </c>
      <c r="G11" s="70"/>
      <c r="H11" s="70"/>
      <c r="I11" s="70"/>
      <c r="J11" s="70"/>
      <c r="K11" s="8"/>
      <c r="L11" s="8"/>
      <c r="M11" s="8">
        <v>660</v>
      </c>
      <c r="N11" s="8">
        <f aca="true" t="shared" si="3" ref="N11:N37">M11+L11+J11+I11+K11+H11</f>
        <v>660</v>
      </c>
      <c r="O11" s="8">
        <f t="shared" si="0"/>
        <v>186379</v>
      </c>
      <c r="P11" s="138">
        <f aca="true" t="shared" si="4" ref="P11:P37">D11/O11*100</f>
        <v>99.64588285160882</v>
      </c>
      <c r="Q11" s="8">
        <f t="shared" si="2"/>
        <v>185719</v>
      </c>
      <c r="R11" s="326">
        <v>149918</v>
      </c>
      <c r="S11" s="326">
        <v>35801</v>
      </c>
      <c r="U11" s="2">
        <v>192105</v>
      </c>
      <c r="Z11" s="2">
        <v>99.29410131832813</v>
      </c>
    </row>
    <row r="12" spans="1:26" ht="14.25">
      <c r="A12" s="5">
        <v>4</v>
      </c>
      <c r="B12" s="6" t="s">
        <v>24</v>
      </c>
      <c r="C12" s="85">
        <v>1</v>
      </c>
      <c r="D12" s="8">
        <f>Q12+Q18</f>
        <v>362103</v>
      </c>
      <c r="E12" s="8"/>
      <c r="F12" s="8">
        <f t="shared" si="1"/>
        <v>362103</v>
      </c>
      <c r="G12" s="70"/>
      <c r="H12" s="70"/>
      <c r="I12" s="70">
        <v>5842</v>
      </c>
      <c r="J12" s="70">
        <v>11193</v>
      </c>
      <c r="K12" s="8"/>
      <c r="L12" s="8"/>
      <c r="M12" s="8">
        <v>210</v>
      </c>
      <c r="N12" s="8">
        <f t="shared" si="3"/>
        <v>17245</v>
      </c>
      <c r="O12" s="8">
        <f t="shared" si="0"/>
        <v>379348</v>
      </c>
      <c r="P12" s="138">
        <f t="shared" si="4"/>
        <v>95.45404219871992</v>
      </c>
      <c r="Q12" s="8">
        <f t="shared" si="2"/>
        <v>206742</v>
      </c>
      <c r="R12" s="326">
        <v>112219</v>
      </c>
      <c r="S12" s="326">
        <v>94523</v>
      </c>
      <c r="U12" s="2">
        <v>215488</v>
      </c>
      <c r="Z12" s="2">
        <v>89.63273485884523</v>
      </c>
    </row>
    <row r="13" spans="1:26" ht="14.25">
      <c r="A13" s="5">
        <v>5</v>
      </c>
      <c r="B13" s="6" t="s">
        <v>25</v>
      </c>
      <c r="C13" s="85"/>
      <c r="D13" s="8"/>
      <c r="E13" s="8"/>
      <c r="F13" s="8">
        <f t="shared" si="1"/>
        <v>0</v>
      </c>
      <c r="G13" s="537">
        <v>49982</v>
      </c>
      <c r="H13" s="70"/>
      <c r="I13" s="70"/>
      <c r="J13" s="70"/>
      <c r="K13" s="8"/>
      <c r="L13" s="8"/>
      <c r="M13" s="8"/>
      <c r="N13" s="8">
        <f t="shared" si="3"/>
        <v>0</v>
      </c>
      <c r="O13" s="8">
        <f t="shared" si="0"/>
        <v>0</v>
      </c>
      <c r="P13" s="138"/>
      <c r="Q13" s="8">
        <f t="shared" si="2"/>
        <v>138579</v>
      </c>
      <c r="R13" s="326">
        <v>117359</v>
      </c>
      <c r="S13" s="326">
        <v>21220</v>
      </c>
      <c r="U13" s="2">
        <v>138287</v>
      </c>
      <c r="Z13" s="2">
        <v>95.65037645182001</v>
      </c>
    </row>
    <row r="14" spans="1:26" ht="14.25">
      <c r="A14" s="5">
        <v>6</v>
      </c>
      <c r="B14" s="6" t="s">
        <v>26</v>
      </c>
      <c r="C14" s="85">
        <v>1</v>
      </c>
      <c r="D14" s="8">
        <f>Q14</f>
        <v>1468465</v>
      </c>
      <c r="E14" s="8"/>
      <c r="F14" s="8">
        <f t="shared" si="1"/>
        <v>1468465</v>
      </c>
      <c r="G14" s="537">
        <v>56626</v>
      </c>
      <c r="H14" s="70">
        <f>G14</f>
        <v>56626</v>
      </c>
      <c r="I14" s="70">
        <v>95412</v>
      </c>
      <c r="J14" s="70">
        <v>74153</v>
      </c>
      <c r="K14" s="8"/>
      <c r="L14" s="8"/>
      <c r="M14" s="8">
        <v>540</v>
      </c>
      <c r="N14" s="8">
        <f t="shared" si="3"/>
        <v>226731</v>
      </c>
      <c r="O14" s="8">
        <f t="shared" si="0"/>
        <v>1695196</v>
      </c>
      <c r="P14" s="138">
        <f t="shared" si="4"/>
        <v>86.62508642068528</v>
      </c>
      <c r="Q14" s="8">
        <f t="shared" si="2"/>
        <v>1468465</v>
      </c>
      <c r="R14" s="326">
        <v>1142496</v>
      </c>
      <c r="S14" s="326">
        <v>325969</v>
      </c>
      <c r="U14" s="2">
        <v>1513277</v>
      </c>
      <c r="Z14" s="2">
        <v>98.70950073495302</v>
      </c>
    </row>
    <row r="15" spans="1:26" ht="14.25">
      <c r="A15" s="5">
        <v>7</v>
      </c>
      <c r="B15" s="6" t="s">
        <v>27</v>
      </c>
      <c r="C15" s="85">
        <v>1</v>
      </c>
      <c r="D15" s="8">
        <f>Q15</f>
        <v>458947</v>
      </c>
      <c r="E15" s="8"/>
      <c r="F15" s="8">
        <f t="shared" si="1"/>
        <v>458947</v>
      </c>
      <c r="G15" s="537">
        <v>16568</v>
      </c>
      <c r="H15" s="70">
        <f>G15</f>
        <v>16568</v>
      </c>
      <c r="I15" s="70">
        <v>5770</v>
      </c>
      <c r="J15" s="70">
        <v>26848</v>
      </c>
      <c r="K15" s="8"/>
      <c r="L15" s="8"/>
      <c r="M15" s="8">
        <v>60</v>
      </c>
      <c r="N15" s="8">
        <f t="shared" si="3"/>
        <v>49246</v>
      </c>
      <c r="O15" s="8">
        <f t="shared" si="0"/>
        <v>508193</v>
      </c>
      <c r="P15" s="138">
        <f t="shared" si="4"/>
        <v>90.30958710568623</v>
      </c>
      <c r="Q15" s="8">
        <f t="shared" si="2"/>
        <v>458947</v>
      </c>
      <c r="R15" s="326">
        <v>314600</v>
      </c>
      <c r="S15" s="326">
        <v>144347</v>
      </c>
      <c r="U15" s="2">
        <v>479607</v>
      </c>
      <c r="Z15" s="2">
        <v>99.97113064460531</v>
      </c>
    </row>
    <row r="16" spans="1:26" ht="14.25">
      <c r="A16" s="5">
        <v>8</v>
      </c>
      <c r="B16" s="6" t="s">
        <v>28</v>
      </c>
      <c r="C16" s="85">
        <v>1</v>
      </c>
      <c r="D16" s="8">
        <f>Q16</f>
        <v>250500</v>
      </c>
      <c r="E16" s="8"/>
      <c r="F16" s="8">
        <f t="shared" si="1"/>
        <v>250500</v>
      </c>
      <c r="G16" s="70"/>
      <c r="H16" s="70"/>
      <c r="I16" s="70">
        <v>4856</v>
      </c>
      <c r="J16" s="70">
        <v>2337</v>
      </c>
      <c r="K16" s="8"/>
      <c r="L16" s="8"/>
      <c r="M16" s="8"/>
      <c r="N16" s="8">
        <f t="shared" si="3"/>
        <v>7193</v>
      </c>
      <c r="O16" s="8">
        <f t="shared" si="0"/>
        <v>257693</v>
      </c>
      <c r="P16" s="138">
        <f t="shared" si="4"/>
        <v>97.20869406619505</v>
      </c>
      <c r="Q16" s="8">
        <f t="shared" si="2"/>
        <v>250500</v>
      </c>
      <c r="R16" s="326">
        <v>61516</v>
      </c>
      <c r="S16" s="326">
        <v>188984</v>
      </c>
      <c r="U16" s="2">
        <v>260477</v>
      </c>
      <c r="Z16" s="2">
        <v>75.71221873871875</v>
      </c>
    </row>
    <row r="17" spans="1:26" ht="14.25">
      <c r="A17" s="5">
        <v>9</v>
      </c>
      <c r="B17" s="6" t="s">
        <v>29</v>
      </c>
      <c r="C17" s="85">
        <v>1</v>
      </c>
      <c r="D17" s="8">
        <f>Q17</f>
        <v>188524</v>
      </c>
      <c r="E17" s="8"/>
      <c r="F17" s="8">
        <f t="shared" si="1"/>
        <v>188524</v>
      </c>
      <c r="G17" s="70"/>
      <c r="H17" s="70"/>
      <c r="I17" s="70"/>
      <c r="J17" s="70"/>
      <c r="K17" s="8"/>
      <c r="L17" s="8"/>
      <c r="M17" s="8"/>
      <c r="N17" s="8">
        <f t="shared" si="3"/>
        <v>0</v>
      </c>
      <c r="O17" s="8">
        <f t="shared" si="0"/>
        <v>188524</v>
      </c>
      <c r="P17" s="138">
        <f t="shared" si="4"/>
        <v>100</v>
      </c>
      <c r="Q17" s="8">
        <f t="shared" si="2"/>
        <v>188524</v>
      </c>
      <c r="R17" s="326">
        <v>155099</v>
      </c>
      <c r="S17" s="326">
        <v>33425</v>
      </c>
      <c r="U17" s="2">
        <v>192623</v>
      </c>
      <c r="Z17" s="2">
        <v>96.67962101031165</v>
      </c>
    </row>
    <row r="18" spans="1:26" ht="14.25">
      <c r="A18" s="5">
        <v>10</v>
      </c>
      <c r="B18" s="6" t="s">
        <v>30</v>
      </c>
      <c r="C18" s="85"/>
      <c r="D18" s="8"/>
      <c r="E18" s="8"/>
      <c r="F18" s="8">
        <f t="shared" si="1"/>
        <v>0</v>
      </c>
      <c r="G18" s="70"/>
      <c r="H18" s="70"/>
      <c r="I18" s="70"/>
      <c r="J18" s="70"/>
      <c r="K18" s="8"/>
      <c r="L18" s="8"/>
      <c r="M18" s="8"/>
      <c r="N18" s="8">
        <f t="shared" si="3"/>
        <v>0</v>
      </c>
      <c r="O18" s="8">
        <f t="shared" si="0"/>
        <v>0</v>
      </c>
      <c r="P18" s="138"/>
      <c r="Q18" s="8">
        <f t="shared" si="2"/>
        <v>155361</v>
      </c>
      <c r="R18" s="326">
        <v>140665</v>
      </c>
      <c r="S18" s="326">
        <v>14696</v>
      </c>
      <c r="U18" s="2">
        <v>158714</v>
      </c>
      <c r="Z18" s="2">
        <v>78.24355311618743</v>
      </c>
    </row>
    <row r="19" spans="1:26" ht="14.25">
      <c r="A19" s="5">
        <v>11</v>
      </c>
      <c r="B19" s="6" t="s">
        <v>31</v>
      </c>
      <c r="C19" s="85">
        <v>1</v>
      </c>
      <c r="D19" s="8">
        <f>Q19</f>
        <v>1558985</v>
      </c>
      <c r="E19" s="8"/>
      <c r="F19" s="8">
        <f t="shared" si="1"/>
        <v>1558985</v>
      </c>
      <c r="G19" s="537">
        <v>493447</v>
      </c>
      <c r="H19" s="70">
        <f>G19</f>
        <v>493447</v>
      </c>
      <c r="I19" s="70">
        <v>117890</v>
      </c>
      <c r="J19" s="70">
        <v>157777</v>
      </c>
      <c r="K19" s="8"/>
      <c r="L19" s="8"/>
      <c r="M19" s="8">
        <v>4290</v>
      </c>
      <c r="N19" s="8">
        <f t="shared" si="3"/>
        <v>773404</v>
      </c>
      <c r="O19" s="8">
        <f t="shared" si="0"/>
        <v>2332389</v>
      </c>
      <c r="P19" s="138">
        <f t="shared" si="4"/>
        <v>66.84069424096923</v>
      </c>
      <c r="Q19" s="8">
        <f t="shared" si="2"/>
        <v>1558985</v>
      </c>
      <c r="R19" s="326">
        <v>1225845</v>
      </c>
      <c r="S19" s="326">
        <v>333140</v>
      </c>
      <c r="U19" s="2">
        <v>1635253</v>
      </c>
      <c r="Z19" s="2">
        <v>89.60746703418836</v>
      </c>
    </row>
    <row r="20" spans="1:26" ht="14.25">
      <c r="A20" s="5">
        <v>12</v>
      </c>
      <c r="B20" s="6" t="s">
        <v>32</v>
      </c>
      <c r="C20" s="85">
        <v>1</v>
      </c>
      <c r="D20" s="8">
        <f>Q20</f>
        <v>2803946</v>
      </c>
      <c r="E20" s="8"/>
      <c r="F20" s="8">
        <f t="shared" si="1"/>
        <v>2803946</v>
      </c>
      <c r="G20" s="537">
        <v>49315</v>
      </c>
      <c r="H20" s="70">
        <f>G20</f>
        <v>49315</v>
      </c>
      <c r="I20" s="70">
        <v>51719</v>
      </c>
      <c r="J20" s="70">
        <v>11964</v>
      </c>
      <c r="K20" s="8"/>
      <c r="L20" s="8"/>
      <c r="M20" s="8"/>
      <c r="N20" s="8">
        <f t="shared" si="3"/>
        <v>112998</v>
      </c>
      <c r="O20" s="8">
        <f t="shared" si="0"/>
        <v>2916944</v>
      </c>
      <c r="P20" s="138">
        <f t="shared" si="4"/>
        <v>96.12615120482259</v>
      </c>
      <c r="Q20" s="8">
        <f t="shared" si="2"/>
        <v>2803946</v>
      </c>
      <c r="R20" s="326">
        <v>881333</v>
      </c>
      <c r="S20" s="326">
        <v>1922613</v>
      </c>
      <c r="U20" s="2">
        <v>2897991</v>
      </c>
      <c r="Z20" s="2">
        <v>99.97456889684165</v>
      </c>
    </row>
    <row r="21" spans="1:26" ht="14.25">
      <c r="A21" s="5">
        <v>13</v>
      </c>
      <c r="B21" s="6" t="s">
        <v>33</v>
      </c>
      <c r="C21" s="85">
        <v>1</v>
      </c>
      <c r="D21" s="8">
        <f>Q21+Q13</f>
        <v>826910</v>
      </c>
      <c r="E21" s="8"/>
      <c r="F21" s="8">
        <f t="shared" si="1"/>
        <v>826910</v>
      </c>
      <c r="G21" s="537">
        <v>176430</v>
      </c>
      <c r="H21" s="70">
        <f>G21+G13</f>
        <v>226412</v>
      </c>
      <c r="I21" s="70">
        <v>24553</v>
      </c>
      <c r="J21" s="70">
        <v>17433</v>
      </c>
      <c r="K21" s="8"/>
      <c r="L21" s="8"/>
      <c r="M21" s="8">
        <v>150</v>
      </c>
      <c r="N21" s="8">
        <f t="shared" si="3"/>
        <v>268548</v>
      </c>
      <c r="O21" s="8">
        <f t="shared" si="0"/>
        <v>1095458</v>
      </c>
      <c r="P21" s="138">
        <f t="shared" si="4"/>
        <v>75.48532212097588</v>
      </c>
      <c r="Q21" s="8">
        <f t="shared" si="2"/>
        <v>688331</v>
      </c>
      <c r="R21" s="326">
        <v>553524</v>
      </c>
      <c r="S21" s="326">
        <v>134807</v>
      </c>
      <c r="U21" s="2">
        <v>691578</v>
      </c>
      <c r="Z21" s="2">
        <v>98.60322263014092</v>
      </c>
    </row>
    <row r="22" spans="1:26" ht="14.25">
      <c r="A22" s="5">
        <v>14</v>
      </c>
      <c r="B22" s="6" t="s">
        <v>34</v>
      </c>
      <c r="C22" s="85">
        <v>1</v>
      </c>
      <c r="D22" s="8">
        <f>Q22</f>
        <v>1905299</v>
      </c>
      <c r="E22" s="8"/>
      <c r="F22" s="8">
        <f t="shared" si="1"/>
        <v>1905299</v>
      </c>
      <c r="G22" s="537">
        <v>68387</v>
      </c>
      <c r="H22" s="70">
        <f>G22</f>
        <v>68387</v>
      </c>
      <c r="I22" s="70">
        <v>98156</v>
      </c>
      <c r="J22" s="70">
        <v>251288</v>
      </c>
      <c r="K22" s="8"/>
      <c r="L22" s="8"/>
      <c r="M22" s="8">
        <v>3000</v>
      </c>
      <c r="N22" s="8">
        <f t="shared" si="3"/>
        <v>420831</v>
      </c>
      <c r="O22" s="8">
        <f t="shared" si="0"/>
        <v>2326130</v>
      </c>
      <c r="P22" s="138">
        <f t="shared" si="4"/>
        <v>81.90853477664619</v>
      </c>
      <c r="Q22" s="8">
        <f t="shared" si="2"/>
        <v>1905299</v>
      </c>
      <c r="R22" s="326">
        <v>1394207</v>
      </c>
      <c r="S22" s="326">
        <v>511092</v>
      </c>
      <c r="U22" s="2">
        <v>1969776</v>
      </c>
      <c r="Z22" s="2">
        <v>79.92374107626578</v>
      </c>
    </row>
    <row r="23" spans="1:26" ht="14.25">
      <c r="A23" s="5">
        <v>15</v>
      </c>
      <c r="B23" s="6" t="s">
        <v>35</v>
      </c>
      <c r="C23" s="85">
        <v>1</v>
      </c>
      <c r="D23" s="8">
        <f>Q23+Q24</f>
        <v>142036</v>
      </c>
      <c r="E23" s="8"/>
      <c r="F23" s="8">
        <f t="shared" si="1"/>
        <v>142036</v>
      </c>
      <c r="G23" s="70"/>
      <c r="H23" s="70"/>
      <c r="I23" s="70"/>
      <c r="J23" s="70"/>
      <c r="K23" s="8"/>
      <c r="L23" s="8"/>
      <c r="M23" s="8"/>
      <c r="N23" s="8">
        <f t="shared" si="3"/>
        <v>0</v>
      </c>
      <c r="O23" s="8">
        <f t="shared" si="0"/>
        <v>142036</v>
      </c>
      <c r="P23" s="138">
        <f t="shared" si="4"/>
        <v>100</v>
      </c>
      <c r="Q23" s="8">
        <f t="shared" si="2"/>
        <v>78012</v>
      </c>
      <c r="R23" s="326">
        <v>58131</v>
      </c>
      <c r="S23" s="326">
        <v>19881</v>
      </c>
      <c r="U23" s="2">
        <v>104510</v>
      </c>
      <c r="Z23" s="2">
        <v>92.71026885407557</v>
      </c>
    </row>
    <row r="24" spans="1:26" ht="14.25">
      <c r="A24" s="5">
        <v>16</v>
      </c>
      <c r="B24" s="6" t="s">
        <v>36</v>
      </c>
      <c r="C24" s="85"/>
      <c r="D24" s="8"/>
      <c r="E24" s="8"/>
      <c r="F24" s="8"/>
      <c r="G24" s="70"/>
      <c r="H24" s="70"/>
      <c r="I24" s="70"/>
      <c r="J24" s="70"/>
      <c r="K24" s="8"/>
      <c r="L24" s="8"/>
      <c r="M24" s="8"/>
      <c r="N24" s="8">
        <f t="shared" si="3"/>
        <v>0</v>
      </c>
      <c r="O24" s="8">
        <f t="shared" si="0"/>
        <v>0</v>
      </c>
      <c r="P24" s="138"/>
      <c r="Q24" s="8">
        <f t="shared" si="2"/>
        <v>64024</v>
      </c>
      <c r="R24" s="326">
        <v>48705</v>
      </c>
      <c r="S24" s="326">
        <v>15319</v>
      </c>
      <c r="U24" s="2">
        <v>63838</v>
      </c>
      <c r="Z24" s="2">
        <v>91.28337895095608</v>
      </c>
    </row>
    <row r="25" spans="1:26" ht="14.25">
      <c r="A25" s="5">
        <v>17</v>
      </c>
      <c r="B25" s="6" t="s">
        <v>37</v>
      </c>
      <c r="C25" s="85">
        <v>1</v>
      </c>
      <c r="D25" s="8">
        <f>Q25</f>
        <v>339397</v>
      </c>
      <c r="E25" s="8"/>
      <c r="F25" s="8">
        <f t="shared" si="1"/>
        <v>339397</v>
      </c>
      <c r="G25" s="70"/>
      <c r="H25" s="70"/>
      <c r="I25" s="70">
        <v>3787</v>
      </c>
      <c r="J25" s="71">
        <v>7075</v>
      </c>
      <c r="K25" s="8"/>
      <c r="L25" s="8"/>
      <c r="M25" s="8">
        <v>300</v>
      </c>
      <c r="N25" s="8">
        <f t="shared" si="3"/>
        <v>11162</v>
      </c>
      <c r="O25" s="8">
        <f t="shared" si="0"/>
        <v>350559</v>
      </c>
      <c r="P25" s="138">
        <f t="shared" si="4"/>
        <v>96.81594253749012</v>
      </c>
      <c r="Q25" s="8">
        <f>R25+S25</f>
        <v>339397</v>
      </c>
      <c r="R25" s="326">
        <v>244937</v>
      </c>
      <c r="S25" s="326">
        <v>94460</v>
      </c>
      <c r="U25" s="2">
        <v>354764</v>
      </c>
      <c r="Z25" s="2">
        <v>94.06692280432698</v>
      </c>
    </row>
    <row r="26" spans="1:26" ht="14.25">
      <c r="A26" s="5">
        <v>18</v>
      </c>
      <c r="B26" s="6" t="s">
        <v>38</v>
      </c>
      <c r="C26" s="85">
        <v>1</v>
      </c>
      <c r="D26" s="8">
        <f>Q26</f>
        <v>908418</v>
      </c>
      <c r="E26" s="8"/>
      <c r="F26" s="8">
        <f t="shared" si="1"/>
        <v>908418</v>
      </c>
      <c r="G26" s="537">
        <f>51762+40112</f>
        <v>91874</v>
      </c>
      <c r="H26" s="70">
        <f>G26</f>
        <v>91874</v>
      </c>
      <c r="I26" s="70">
        <v>23369</v>
      </c>
      <c r="J26" s="70">
        <v>17206</v>
      </c>
      <c r="K26" s="70">
        <v>210046</v>
      </c>
      <c r="L26" s="70"/>
      <c r="M26" s="70">
        <v>390</v>
      </c>
      <c r="N26" s="8">
        <f t="shared" si="3"/>
        <v>342885</v>
      </c>
      <c r="O26" s="8">
        <f t="shared" si="0"/>
        <v>1251303</v>
      </c>
      <c r="P26" s="138">
        <f t="shared" si="4"/>
        <v>72.59776409071185</v>
      </c>
      <c r="Q26" s="8">
        <f t="shared" si="2"/>
        <v>908418</v>
      </c>
      <c r="R26" s="326">
        <v>555478</v>
      </c>
      <c r="S26" s="326">
        <v>352940</v>
      </c>
      <c r="U26" s="2">
        <v>947437</v>
      </c>
      <c r="Z26" s="2">
        <v>97.34495055716977</v>
      </c>
    </row>
    <row r="27" spans="1:26" ht="14.25">
      <c r="A27" s="5">
        <v>19</v>
      </c>
      <c r="B27" s="6" t="s">
        <v>39</v>
      </c>
      <c r="C27" s="85">
        <v>1</v>
      </c>
      <c r="D27" s="8">
        <f>Q27</f>
        <v>823171</v>
      </c>
      <c r="E27" s="8"/>
      <c r="F27" s="8">
        <f t="shared" si="1"/>
        <v>823171</v>
      </c>
      <c r="G27" s="537">
        <v>37378</v>
      </c>
      <c r="H27" s="70">
        <f>G27</f>
        <v>37378</v>
      </c>
      <c r="I27" s="70">
        <v>23335</v>
      </c>
      <c r="J27" s="71">
        <v>8326</v>
      </c>
      <c r="K27" s="70"/>
      <c r="L27" s="70">
        <v>56611</v>
      </c>
      <c r="M27" s="70">
        <v>3060</v>
      </c>
      <c r="N27" s="8">
        <f t="shared" si="3"/>
        <v>128710</v>
      </c>
      <c r="O27" s="8">
        <f t="shared" si="0"/>
        <v>951881</v>
      </c>
      <c r="P27" s="138">
        <f>D27/O27*100</f>
        <v>86.47835181078307</v>
      </c>
      <c r="Q27" s="8">
        <f t="shared" si="2"/>
        <v>823171</v>
      </c>
      <c r="R27" s="326">
        <v>610227</v>
      </c>
      <c r="S27" s="326">
        <v>212944</v>
      </c>
      <c r="U27" s="2">
        <v>863610</v>
      </c>
      <c r="Z27" s="2">
        <v>99.57320250470293</v>
      </c>
    </row>
    <row r="28" spans="1:26" ht="14.25">
      <c r="A28" s="5">
        <v>20</v>
      </c>
      <c r="B28" s="6" t="s">
        <v>40</v>
      </c>
      <c r="C28" s="85">
        <v>1</v>
      </c>
      <c r="D28" s="8">
        <f>Q28</f>
        <v>1478446</v>
      </c>
      <c r="E28" s="8"/>
      <c r="F28" s="8">
        <f t="shared" si="1"/>
        <v>1478446</v>
      </c>
      <c r="G28" s="537">
        <f>6613+126644</f>
        <v>133257</v>
      </c>
      <c r="H28" s="70">
        <f>G28</f>
        <v>133257</v>
      </c>
      <c r="I28" s="70">
        <v>147229</v>
      </c>
      <c r="J28" s="70">
        <v>9390</v>
      </c>
      <c r="K28" s="8"/>
      <c r="L28" s="8"/>
      <c r="M28" s="8">
        <v>3180</v>
      </c>
      <c r="N28" s="8">
        <f t="shared" si="3"/>
        <v>293056</v>
      </c>
      <c r="O28" s="8">
        <f t="shared" si="0"/>
        <v>1771502</v>
      </c>
      <c r="P28" s="138">
        <f t="shared" si="4"/>
        <v>83.45720185469732</v>
      </c>
      <c r="Q28" s="8">
        <f t="shared" si="2"/>
        <v>1478446</v>
      </c>
      <c r="R28" s="326">
        <v>988096</v>
      </c>
      <c r="S28" s="326">
        <v>490350</v>
      </c>
      <c r="U28" s="2">
        <v>1537142</v>
      </c>
      <c r="Z28" s="2">
        <v>86.84519099492839</v>
      </c>
    </row>
    <row r="29" spans="1:26" ht="14.25">
      <c r="A29" s="5">
        <v>21</v>
      </c>
      <c r="B29" s="6" t="s">
        <v>41</v>
      </c>
      <c r="C29" s="85"/>
      <c r="D29" s="8"/>
      <c r="E29" s="8"/>
      <c r="F29" s="8"/>
      <c r="G29" s="70"/>
      <c r="H29" s="70"/>
      <c r="I29" s="70"/>
      <c r="J29" s="70"/>
      <c r="K29" s="8"/>
      <c r="L29" s="8"/>
      <c r="M29" s="8"/>
      <c r="N29" s="8">
        <f t="shared" si="3"/>
        <v>0</v>
      </c>
      <c r="O29" s="8">
        <f t="shared" si="0"/>
        <v>0</v>
      </c>
      <c r="P29" s="138"/>
      <c r="Q29" s="8">
        <f t="shared" si="2"/>
        <v>157880</v>
      </c>
      <c r="R29" s="326">
        <v>127429</v>
      </c>
      <c r="S29" s="326">
        <v>30451</v>
      </c>
      <c r="U29" s="2">
        <v>175527</v>
      </c>
      <c r="Z29" s="2">
        <v>68.69298009921071</v>
      </c>
    </row>
    <row r="30" spans="1:26" ht="14.25">
      <c r="A30" s="5">
        <v>22</v>
      </c>
      <c r="B30" s="6" t="s">
        <v>42</v>
      </c>
      <c r="C30" s="85">
        <v>1</v>
      </c>
      <c r="D30" s="8">
        <f>Q30</f>
        <v>721358</v>
      </c>
      <c r="E30" s="8"/>
      <c r="F30" s="8">
        <f t="shared" si="1"/>
        <v>721358</v>
      </c>
      <c r="G30" s="537">
        <v>51264</v>
      </c>
      <c r="H30" s="70">
        <f>G30</f>
        <v>51264</v>
      </c>
      <c r="I30" s="70">
        <v>40699</v>
      </c>
      <c r="J30" s="71">
        <v>14309</v>
      </c>
      <c r="K30" s="8"/>
      <c r="L30" s="8"/>
      <c r="M30" s="8">
        <v>480</v>
      </c>
      <c r="N30" s="8">
        <f t="shared" si="3"/>
        <v>106752</v>
      </c>
      <c r="O30" s="8">
        <f t="shared" si="0"/>
        <v>828110</v>
      </c>
      <c r="P30" s="138">
        <f t="shared" si="4"/>
        <v>87.10895895472824</v>
      </c>
      <c r="Q30" s="8">
        <f t="shared" si="2"/>
        <v>721358</v>
      </c>
      <c r="R30" s="326">
        <v>540891</v>
      </c>
      <c r="S30" s="326">
        <v>180467</v>
      </c>
      <c r="U30" s="2">
        <v>886296</v>
      </c>
      <c r="Z30" s="2">
        <v>88.91460676253703</v>
      </c>
    </row>
    <row r="31" spans="1:26" ht="14.25">
      <c r="A31" s="5">
        <v>23</v>
      </c>
      <c r="B31" s="6" t="s">
        <v>43</v>
      </c>
      <c r="C31" s="85">
        <v>1</v>
      </c>
      <c r="D31" s="8">
        <f>Q31+Q29</f>
        <v>524480</v>
      </c>
      <c r="E31" s="8"/>
      <c r="F31" s="8">
        <f t="shared" si="1"/>
        <v>524480</v>
      </c>
      <c r="G31" s="537">
        <v>21224</v>
      </c>
      <c r="H31" s="70">
        <f>G31</f>
        <v>21224</v>
      </c>
      <c r="I31" s="70">
        <v>6044</v>
      </c>
      <c r="J31" s="71">
        <v>8618</v>
      </c>
      <c r="K31" s="8"/>
      <c r="L31" s="8"/>
      <c r="M31" s="8">
        <v>240</v>
      </c>
      <c r="N31" s="8">
        <f t="shared" si="3"/>
        <v>36126</v>
      </c>
      <c r="O31" s="8">
        <f t="shared" si="0"/>
        <v>560606</v>
      </c>
      <c r="P31" s="138">
        <f t="shared" si="4"/>
        <v>93.55590200604345</v>
      </c>
      <c r="Q31" s="8">
        <f t="shared" si="2"/>
        <v>366600</v>
      </c>
      <c r="R31" s="326">
        <v>323207</v>
      </c>
      <c r="S31" s="326">
        <v>43393</v>
      </c>
      <c r="U31" s="2">
        <v>449455</v>
      </c>
      <c r="Z31" s="2">
        <v>0</v>
      </c>
    </row>
    <row r="32" spans="1:26" ht="14.25">
      <c r="A32" s="5">
        <v>24</v>
      </c>
      <c r="B32" s="6" t="s">
        <v>44</v>
      </c>
      <c r="C32" s="85">
        <v>1</v>
      </c>
      <c r="D32" s="8">
        <f>Q32+Q9</f>
        <v>506832</v>
      </c>
      <c r="E32" s="8"/>
      <c r="F32" s="8">
        <f t="shared" si="1"/>
        <v>506832</v>
      </c>
      <c r="G32" s="70"/>
      <c r="H32" s="70"/>
      <c r="I32" s="70">
        <v>2121</v>
      </c>
      <c r="J32" s="71">
        <v>3776</v>
      </c>
      <c r="K32" s="8"/>
      <c r="L32" s="8"/>
      <c r="M32" s="8"/>
      <c r="N32" s="8">
        <f t="shared" si="3"/>
        <v>5897</v>
      </c>
      <c r="O32" s="8">
        <f t="shared" si="0"/>
        <v>512729</v>
      </c>
      <c r="P32" s="138">
        <f t="shared" si="4"/>
        <v>98.84987976104335</v>
      </c>
      <c r="Q32" s="8">
        <f t="shared" si="2"/>
        <v>492664</v>
      </c>
      <c r="R32" s="326">
        <v>258325</v>
      </c>
      <c r="S32" s="326">
        <v>234339</v>
      </c>
      <c r="U32" s="2">
        <v>494849</v>
      </c>
      <c r="Z32" s="2">
        <v>0</v>
      </c>
    </row>
    <row r="33" spans="1:26" ht="14.25">
      <c r="A33" s="5">
        <v>25</v>
      </c>
      <c r="B33" s="6" t="s">
        <v>45</v>
      </c>
      <c r="C33" s="85">
        <v>1</v>
      </c>
      <c r="D33" s="8">
        <f>Q33</f>
        <v>856287</v>
      </c>
      <c r="E33" s="8"/>
      <c r="F33" s="8">
        <f t="shared" si="1"/>
        <v>856287</v>
      </c>
      <c r="G33" s="537">
        <v>104751</v>
      </c>
      <c r="H33" s="70">
        <f>G33</f>
        <v>104751</v>
      </c>
      <c r="I33" s="70">
        <v>81842</v>
      </c>
      <c r="J33" s="70">
        <v>39934</v>
      </c>
      <c r="K33" s="8"/>
      <c r="L33" s="8"/>
      <c r="M33" s="8">
        <v>1560</v>
      </c>
      <c r="N33" s="8">
        <f t="shared" si="3"/>
        <v>228087</v>
      </c>
      <c r="O33" s="8">
        <f t="shared" si="0"/>
        <v>1084374</v>
      </c>
      <c r="P33" s="138">
        <f t="shared" si="4"/>
        <v>78.96602094849194</v>
      </c>
      <c r="Q33" s="8">
        <f t="shared" si="2"/>
        <v>856287</v>
      </c>
      <c r="R33" s="326">
        <v>856287</v>
      </c>
      <c r="S33" s="326">
        <v>0</v>
      </c>
      <c r="U33" s="2">
        <v>896209</v>
      </c>
      <c r="Z33" s="2">
        <v>75.3354056694775</v>
      </c>
    </row>
    <row r="34" spans="1:21" ht="14.25">
      <c r="A34" s="5">
        <v>26</v>
      </c>
      <c r="B34" s="6" t="s">
        <v>46</v>
      </c>
      <c r="C34" s="85">
        <v>1</v>
      </c>
      <c r="D34" s="8">
        <f>Q34</f>
        <v>771175</v>
      </c>
      <c r="E34" s="8"/>
      <c r="F34" s="8">
        <f t="shared" si="1"/>
        <v>771175</v>
      </c>
      <c r="G34" s="537">
        <v>331519</v>
      </c>
      <c r="H34" s="70">
        <f>G34</f>
        <v>331519</v>
      </c>
      <c r="I34" s="70"/>
      <c r="J34" s="70">
        <v>68165</v>
      </c>
      <c r="K34" s="8"/>
      <c r="L34" s="8"/>
      <c r="M34" s="8"/>
      <c r="N34" s="8">
        <f t="shared" si="3"/>
        <v>399684</v>
      </c>
      <c r="O34" s="8">
        <f t="shared" si="0"/>
        <v>1170859</v>
      </c>
      <c r="P34" s="138">
        <f t="shared" si="4"/>
        <v>65.86403657485658</v>
      </c>
      <c r="Q34" s="8">
        <f t="shared" si="2"/>
        <v>771175</v>
      </c>
      <c r="R34" s="326">
        <v>750743</v>
      </c>
      <c r="S34" s="326">
        <v>20432</v>
      </c>
      <c r="U34" s="2">
        <v>799996</v>
      </c>
    </row>
    <row r="35" spans="1:21" ht="15">
      <c r="A35" s="5"/>
      <c r="B35" s="7" t="s">
        <v>47</v>
      </c>
      <c r="C35" s="45">
        <v>1</v>
      </c>
      <c r="D35" s="8">
        <f>SUM(D9:D34)</f>
        <v>18754527</v>
      </c>
      <c r="E35" s="8">
        <f aca="true" t="shared" si="5" ref="E35:M35">SUM(E9:E34)</f>
        <v>0</v>
      </c>
      <c r="F35" s="8">
        <f t="shared" si="5"/>
        <v>18754527</v>
      </c>
      <c r="G35" s="70">
        <f t="shared" si="5"/>
        <v>1808043</v>
      </c>
      <c r="H35" s="70">
        <f t="shared" si="5"/>
        <v>1808043</v>
      </c>
      <c r="I35" s="70">
        <f t="shared" si="5"/>
        <v>820215</v>
      </c>
      <c r="J35" s="70">
        <f t="shared" si="5"/>
        <v>897097</v>
      </c>
      <c r="K35" s="8">
        <f t="shared" si="5"/>
        <v>210046</v>
      </c>
      <c r="L35" s="8">
        <f t="shared" si="5"/>
        <v>56611</v>
      </c>
      <c r="M35" s="8">
        <f t="shared" si="5"/>
        <v>23970</v>
      </c>
      <c r="N35" s="8">
        <f>SUM(N9:N34)</f>
        <v>3815982</v>
      </c>
      <c r="O35" s="8">
        <f>SUM(O9:O34)</f>
        <v>22570509</v>
      </c>
      <c r="P35" s="360">
        <f t="shared" si="4"/>
        <v>83.09306183569011</v>
      </c>
      <c r="Q35" s="31">
        <f>SUM(Q9:Q34)</f>
        <v>18754527</v>
      </c>
      <c r="R35" s="31">
        <f>SUM(R9:R34)</f>
        <v>12752244</v>
      </c>
      <c r="S35" s="31">
        <f>SUM(S9:S34)</f>
        <v>6002283</v>
      </c>
      <c r="U35" s="31">
        <f>SUM(U9:U34)</f>
        <v>19713816</v>
      </c>
    </row>
    <row r="36" spans="1:17" ht="14.25">
      <c r="A36" s="4">
        <v>27</v>
      </c>
      <c r="B36" s="3" t="s">
        <v>48</v>
      </c>
      <c r="C36" s="4"/>
      <c r="D36" s="11"/>
      <c r="E36" s="70">
        <v>1601560</v>
      </c>
      <c r="F36" s="8">
        <f t="shared" si="1"/>
        <v>1601560</v>
      </c>
      <c r="G36" s="537">
        <v>1189809</v>
      </c>
      <c r="H36" s="70">
        <f>G36</f>
        <v>1189809</v>
      </c>
      <c r="I36" s="70">
        <v>184165</v>
      </c>
      <c r="J36" s="70">
        <v>101619</v>
      </c>
      <c r="K36" s="8"/>
      <c r="L36" s="8"/>
      <c r="M36" s="8">
        <v>12990</v>
      </c>
      <c r="N36" s="8">
        <f t="shared" si="3"/>
        <v>1488583</v>
      </c>
      <c r="O36" s="8">
        <f t="shared" si="0"/>
        <v>3090143</v>
      </c>
      <c r="P36" s="138">
        <f t="shared" si="4"/>
        <v>0</v>
      </c>
      <c r="Q36" s="32"/>
    </row>
    <row r="37" spans="1:18" ht="14.25">
      <c r="A37" s="4">
        <v>28</v>
      </c>
      <c r="B37" s="3" t="s">
        <v>49</v>
      </c>
      <c r="C37" s="4"/>
      <c r="D37" s="11"/>
      <c r="E37" s="70">
        <v>1936424</v>
      </c>
      <c r="F37" s="8">
        <f t="shared" si="1"/>
        <v>1936424</v>
      </c>
      <c r="G37" s="537">
        <v>357435</v>
      </c>
      <c r="H37" s="70">
        <f>G37</f>
        <v>357435</v>
      </c>
      <c r="I37" s="70">
        <v>234651</v>
      </c>
      <c r="J37" s="70">
        <v>519175</v>
      </c>
      <c r="K37" s="8"/>
      <c r="L37" s="8"/>
      <c r="M37" s="8">
        <v>7740</v>
      </c>
      <c r="N37" s="8">
        <f t="shared" si="3"/>
        <v>1119001</v>
      </c>
      <c r="O37" s="8">
        <f t="shared" si="0"/>
        <v>3055425</v>
      </c>
      <c r="P37" s="138">
        <f t="shared" si="4"/>
        <v>0</v>
      </c>
      <c r="Q37" s="32"/>
      <c r="R37" s="23"/>
    </row>
    <row r="38" spans="1:19" ht="15">
      <c r="A38" s="4"/>
      <c r="B38" s="3" t="s">
        <v>50</v>
      </c>
      <c r="C38" s="4">
        <v>1</v>
      </c>
      <c r="D38" s="8">
        <f aca="true" t="shared" si="6" ref="D38:O38">SUM(D35:D37)</f>
        <v>18754527</v>
      </c>
      <c r="E38" s="8">
        <f t="shared" si="6"/>
        <v>3537984</v>
      </c>
      <c r="F38" s="8">
        <f t="shared" si="6"/>
        <v>22292511</v>
      </c>
      <c r="G38" s="93">
        <f t="shared" si="6"/>
        <v>3355287</v>
      </c>
      <c r="H38" s="70">
        <f t="shared" si="6"/>
        <v>3355287</v>
      </c>
      <c r="I38" s="70">
        <f t="shared" si="6"/>
        <v>1239031</v>
      </c>
      <c r="J38" s="70">
        <f t="shared" si="6"/>
        <v>1517891</v>
      </c>
      <c r="K38" s="8">
        <f t="shared" si="6"/>
        <v>210046</v>
      </c>
      <c r="L38" s="8">
        <f t="shared" si="6"/>
        <v>56611</v>
      </c>
      <c r="M38" s="8">
        <f t="shared" si="6"/>
        <v>44700</v>
      </c>
      <c r="N38" s="8">
        <f t="shared" si="6"/>
        <v>6423566</v>
      </c>
      <c r="O38" s="8">
        <f t="shared" si="6"/>
        <v>28716077</v>
      </c>
      <c r="P38" s="360">
        <f>D38/O38*100</f>
        <v>65.31019888266772</v>
      </c>
      <c r="Q38" s="533"/>
      <c r="R38" s="532"/>
      <c r="S38" s="532"/>
    </row>
    <row r="39" spans="1:21" ht="14.25">
      <c r="A39" s="3" t="s">
        <v>51</v>
      </c>
      <c r="B39" s="3"/>
      <c r="C39" s="4"/>
      <c r="D39" s="139">
        <f>D38/O38*100</f>
        <v>65.31019888266772</v>
      </c>
      <c r="E39" s="139">
        <f>E38/O38*100</f>
        <v>12.32056871835244</v>
      </c>
      <c r="F39" s="139">
        <f>F38/O38*100</f>
        <v>77.63076760102015</v>
      </c>
      <c r="G39" s="139">
        <f>G38/O38*100</f>
        <v>11.68435019867094</v>
      </c>
      <c r="H39" s="139">
        <f>H38/O38*100</f>
        <v>11.68435019867094</v>
      </c>
      <c r="I39" s="139">
        <f>I38/O38*100</f>
        <v>4.314764165035496</v>
      </c>
      <c r="J39" s="139">
        <f>J38/O38*100</f>
        <v>5.285857814073977</v>
      </c>
      <c r="K39" s="139">
        <f>K38/O38*100</f>
        <v>0.7314578519900193</v>
      </c>
      <c r="L39" s="139">
        <f>L38/O38*100</f>
        <v>0.19714043808978504</v>
      </c>
      <c r="M39" s="139"/>
      <c r="N39" s="139">
        <f>N38/O38*100</f>
        <v>22.369232398979847</v>
      </c>
      <c r="O39" s="139">
        <f>O38/O38*100</f>
        <v>100</v>
      </c>
      <c r="P39" s="139"/>
      <c r="Q39" s="12"/>
      <c r="U39" s="23"/>
    </row>
    <row r="40" spans="1:17" ht="14.25">
      <c r="A40" s="101"/>
      <c r="B40" s="101"/>
      <c r="C40" s="356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40"/>
      <c r="Q40" s="12"/>
    </row>
    <row r="41" spans="1:17" ht="14.25">
      <c r="A41" s="3" t="str">
        <f>'Anne-7'!A41</f>
        <v>Conn. As on 31.12.2013</v>
      </c>
      <c r="B41" s="3"/>
      <c r="C41" s="4">
        <v>1</v>
      </c>
      <c r="D41" s="8">
        <v>18935893</v>
      </c>
      <c r="E41" s="8">
        <v>3539931</v>
      </c>
      <c r="F41" s="8">
        <v>22475824</v>
      </c>
      <c r="G41" s="8">
        <v>3354766</v>
      </c>
      <c r="H41" s="8">
        <v>3354766</v>
      </c>
      <c r="I41" s="8">
        <v>1241106</v>
      </c>
      <c r="J41" s="8">
        <v>1508048</v>
      </c>
      <c r="K41" s="8">
        <v>208344</v>
      </c>
      <c r="L41" s="8">
        <v>55850</v>
      </c>
      <c r="M41" s="8">
        <v>44700</v>
      </c>
      <c r="N41" s="8">
        <v>6412814</v>
      </c>
      <c r="O41" s="8">
        <v>28888638</v>
      </c>
      <c r="P41" s="138">
        <f>D41/O41*100</f>
        <v>65.54789118130111</v>
      </c>
      <c r="Q41" s="12"/>
    </row>
    <row r="42" spans="1:16" ht="14.25">
      <c r="A42" s="3" t="str">
        <f>'Anne-7'!A42</f>
        <v>Addition during January 2014</v>
      </c>
      <c r="B42" s="108"/>
      <c r="C42" s="320">
        <v>8</v>
      </c>
      <c r="D42" s="8">
        <f aca="true" t="shared" si="7" ref="D42:O42">D38-D41</f>
        <v>-181366</v>
      </c>
      <c r="E42" s="8">
        <f t="shared" si="7"/>
        <v>-1947</v>
      </c>
      <c r="F42" s="8">
        <f t="shared" si="7"/>
        <v>-183313</v>
      </c>
      <c r="G42" s="8">
        <f t="shared" si="7"/>
        <v>521</v>
      </c>
      <c r="H42" s="8">
        <f t="shared" si="7"/>
        <v>521</v>
      </c>
      <c r="I42" s="8">
        <f t="shared" si="7"/>
        <v>-2075</v>
      </c>
      <c r="J42" s="8">
        <f t="shared" si="7"/>
        <v>9843</v>
      </c>
      <c r="K42" s="8">
        <f t="shared" si="7"/>
        <v>1702</v>
      </c>
      <c r="L42" s="8">
        <f t="shared" si="7"/>
        <v>761</v>
      </c>
      <c r="M42" s="8">
        <f t="shared" si="7"/>
        <v>0</v>
      </c>
      <c r="N42" s="8">
        <f t="shared" si="7"/>
        <v>10752</v>
      </c>
      <c r="O42" s="8">
        <f t="shared" si="7"/>
        <v>-172561</v>
      </c>
      <c r="P42" s="156" t="s">
        <v>130</v>
      </c>
    </row>
    <row r="43" spans="1:16" ht="14.25">
      <c r="A43" s="3" t="str">
        <f>'Anne-7'!A43</f>
        <v>Conn. As on 31.03.2013</v>
      </c>
      <c r="B43" s="108"/>
      <c r="C43" s="4">
        <v>1</v>
      </c>
      <c r="D43" s="8">
        <v>20446062</v>
      </c>
      <c r="E43" s="8">
        <v>3456885</v>
      </c>
      <c r="F43" s="8">
        <v>23902947</v>
      </c>
      <c r="G43" s="8">
        <v>3283070</v>
      </c>
      <c r="H43" s="8">
        <v>3283070</v>
      </c>
      <c r="I43" s="8">
        <v>1242626</v>
      </c>
      <c r="J43" s="8">
        <v>1505999</v>
      </c>
      <c r="K43" s="8">
        <v>187642</v>
      </c>
      <c r="L43" s="8">
        <v>52474</v>
      </c>
      <c r="M43" s="8">
        <v>32910</v>
      </c>
      <c r="N43" s="8">
        <v>6304721</v>
      </c>
      <c r="O43" s="8">
        <v>30207668</v>
      </c>
      <c r="P43" s="138">
        <f>D43/O43*100</f>
        <v>67.68500633680164</v>
      </c>
    </row>
    <row r="44" spans="1:16" ht="14.25">
      <c r="A44" s="3" t="str">
        <f>'Anne-7'!A44</f>
        <v>Addition during 2013-14</v>
      </c>
      <c r="B44" s="108"/>
      <c r="C44" s="4">
        <v>8</v>
      </c>
      <c r="D44" s="8">
        <f aca="true" t="shared" si="8" ref="D44:O44">D38-D43</f>
        <v>-1691535</v>
      </c>
      <c r="E44" s="8">
        <f t="shared" si="8"/>
        <v>81099</v>
      </c>
      <c r="F44" s="8">
        <f t="shared" si="8"/>
        <v>-1610436</v>
      </c>
      <c r="G44" s="8">
        <f t="shared" si="8"/>
        <v>72217</v>
      </c>
      <c r="H44" s="8">
        <f t="shared" si="8"/>
        <v>72217</v>
      </c>
      <c r="I44" s="8">
        <f t="shared" si="8"/>
        <v>-3595</v>
      </c>
      <c r="J44" s="8">
        <f t="shared" si="8"/>
        <v>11892</v>
      </c>
      <c r="K44" s="8">
        <f t="shared" si="8"/>
        <v>22404</v>
      </c>
      <c r="L44" s="8">
        <f t="shared" si="8"/>
        <v>4137</v>
      </c>
      <c r="M44" s="8">
        <f t="shared" si="8"/>
        <v>11790</v>
      </c>
      <c r="N44" s="8">
        <f t="shared" si="8"/>
        <v>118845</v>
      </c>
      <c r="O44" s="8">
        <f t="shared" si="8"/>
        <v>-1491591</v>
      </c>
      <c r="P44" s="156" t="s">
        <v>130</v>
      </c>
    </row>
    <row r="45" spans="1:16" ht="14.25">
      <c r="A45" s="475" t="s">
        <v>247</v>
      </c>
      <c r="B45" s="475"/>
      <c r="C45" s="356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474"/>
    </row>
    <row r="46" spans="1:16" ht="14.25">
      <c r="A46" s="101"/>
      <c r="B46" s="101"/>
      <c r="C46" s="356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474"/>
    </row>
    <row r="47" spans="1:15" ht="14.25">
      <c r="A47" s="101"/>
      <c r="B47" s="101"/>
      <c r="C47" s="35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1:16" ht="14.25">
      <c r="A48" s="101"/>
      <c r="B48" s="101"/>
      <c r="C48" s="35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474"/>
    </row>
    <row r="49" spans="1:16" ht="14.25">
      <c r="A49" s="101"/>
      <c r="B49" s="101"/>
      <c r="C49" s="35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474"/>
    </row>
    <row r="50" ht="14.25">
      <c r="B50" s="2" t="s">
        <v>79</v>
      </c>
    </row>
    <row r="51" spans="2:10" ht="14.25">
      <c r="B51" s="2" t="s">
        <v>78</v>
      </c>
      <c r="I51" s="23"/>
      <c r="J51" s="23"/>
    </row>
    <row r="52" spans="2:11" ht="14.25">
      <c r="B52" s="2" t="s">
        <v>74</v>
      </c>
      <c r="K52" s="23"/>
    </row>
    <row r="53" spans="2:10" ht="14.25">
      <c r="B53" s="2" t="s">
        <v>73</v>
      </c>
      <c r="J53" s="23"/>
    </row>
    <row r="54" spans="2:3" ht="15">
      <c r="B54" s="26" t="s">
        <v>77</v>
      </c>
      <c r="C54" s="26"/>
    </row>
    <row r="56" spans="11:12" ht="14.25">
      <c r="K56" s="517"/>
      <c r="L56" s="101"/>
    </row>
    <row r="57" spans="4:15" ht="15">
      <c r="D57" s="23">
        <f>D11+D23</f>
        <v>327755</v>
      </c>
      <c r="K57" s="517"/>
      <c r="L57" s="518"/>
      <c r="O57" s="23">
        <f>O11+O23</f>
        <v>328415</v>
      </c>
    </row>
    <row r="58" spans="8:12" ht="14.25">
      <c r="H58" s="2">
        <f>136762+6934</f>
        <v>143696</v>
      </c>
      <c r="K58" s="517"/>
      <c r="L58" s="101"/>
    </row>
    <row r="59" spans="4:12" ht="14.25">
      <c r="D59" s="23" t="e">
        <f>D44+'Anne-7'!D44+'Anne-7'!#REF!</f>
        <v>#REF!</v>
      </c>
      <c r="K59" s="517"/>
      <c r="L59" s="101"/>
    </row>
    <row r="60" spans="11:12" ht="14.25">
      <c r="K60" s="517"/>
      <c r="L60" s="101"/>
    </row>
    <row r="61" spans="11:12" ht="15">
      <c r="K61" s="517"/>
      <c r="L61" s="518"/>
    </row>
    <row r="62" spans="11:12" ht="15">
      <c r="K62" s="517"/>
      <c r="L62" s="518"/>
    </row>
    <row r="63" spans="11:12" ht="14.25">
      <c r="K63" s="517"/>
      <c r="L63" s="101"/>
    </row>
    <row r="64" spans="11:12" ht="15">
      <c r="K64" s="517"/>
      <c r="L64" s="518"/>
    </row>
    <row r="65" spans="11:12" ht="14.25">
      <c r="K65" s="517"/>
      <c r="L65" s="101"/>
    </row>
    <row r="66" spans="11:12" ht="15">
      <c r="K66" s="517"/>
      <c r="L66" s="518"/>
    </row>
    <row r="67" spans="11:12" ht="15">
      <c r="K67" s="517"/>
      <c r="L67" s="518"/>
    </row>
    <row r="68" spans="11:12" ht="14.25">
      <c r="K68" s="517"/>
      <c r="L68" s="101"/>
    </row>
    <row r="69" spans="11:12" ht="15">
      <c r="K69" s="517"/>
      <c r="L69" s="518"/>
    </row>
    <row r="70" spans="11:12" ht="14.25">
      <c r="K70" s="517"/>
      <c r="L70" s="101"/>
    </row>
    <row r="71" spans="11:12" ht="14.25">
      <c r="K71" s="517"/>
      <c r="L71" s="101"/>
    </row>
    <row r="72" spans="11:12" ht="14.25">
      <c r="K72" s="517"/>
      <c r="L72" s="101"/>
    </row>
    <row r="73" spans="11:12" ht="15">
      <c r="K73" s="517"/>
      <c r="L73" s="518"/>
    </row>
    <row r="74" spans="11:12" ht="15">
      <c r="K74" s="517"/>
      <c r="L74" s="518"/>
    </row>
    <row r="75" spans="11:12" ht="15">
      <c r="K75" s="517"/>
      <c r="L75" s="518"/>
    </row>
    <row r="76" spans="11:12" ht="14.25">
      <c r="K76" s="517"/>
      <c r="L76" s="101"/>
    </row>
    <row r="77" spans="11:12" ht="15">
      <c r="K77" s="517"/>
      <c r="L77" s="518"/>
    </row>
    <row r="78" spans="11:12" ht="15">
      <c r="K78" s="517"/>
      <c r="L78" s="518"/>
    </row>
    <row r="79" spans="11:12" ht="14.25">
      <c r="K79" s="517"/>
      <c r="L79" s="101"/>
    </row>
    <row r="80" spans="11:12" ht="14.25">
      <c r="K80" s="517"/>
      <c r="L80" s="101"/>
    </row>
    <row r="81" spans="11:12" ht="14.25">
      <c r="K81" s="517"/>
      <c r="L81" s="101"/>
    </row>
    <row r="82" spans="11:12" ht="14.25">
      <c r="K82" s="101"/>
      <c r="L82" s="101"/>
    </row>
    <row r="83" spans="11:12" ht="15">
      <c r="K83" s="101"/>
      <c r="L83" s="518"/>
    </row>
    <row r="84" spans="11:12" ht="15">
      <c r="K84" s="101"/>
      <c r="L84" s="518"/>
    </row>
  </sheetData>
  <sheetProtection/>
  <mergeCells count="17">
    <mergeCell ref="I7:I8"/>
    <mergeCell ref="J7:J8"/>
    <mergeCell ref="L7:L8"/>
    <mergeCell ref="Q6:S7"/>
    <mergeCell ref="N7:N8"/>
    <mergeCell ref="O7:O8"/>
    <mergeCell ref="K7:K8"/>
    <mergeCell ref="P6:P8"/>
    <mergeCell ref="M7:M8"/>
    <mergeCell ref="H7:H8"/>
    <mergeCell ref="G7:G8"/>
    <mergeCell ref="A6:A8"/>
    <mergeCell ref="B6:B8"/>
    <mergeCell ref="D7:D8"/>
    <mergeCell ref="E7:E8"/>
    <mergeCell ref="F7:F8"/>
    <mergeCell ref="C7:C8"/>
  </mergeCells>
  <conditionalFormatting sqref="P10:P35">
    <cfRule type="top10" priority="1" dxfId="1" stopIfTrue="1" rank="5" bottom="1"/>
    <cfRule type="top10" priority="2" dxfId="0" stopIfTrue="1" rank="5"/>
  </conditionalFormatting>
  <conditionalFormatting sqref="P9:P35">
    <cfRule type="top10" priority="3" dxfId="1" stopIfTrue="1" rank="5" bottom="1"/>
    <cfRule type="top10" priority="4" dxfId="0" stopIfTrue="1" rank="5"/>
  </conditionalFormatting>
  <printOptions horizontalCentered="1" verticalCentered="1"/>
  <pageMargins left="0.3937007874015748" right="0.3937007874015748" top="0.1968503937007874" bottom="0.1968503937007874" header="0.1968503937007874" footer="0.196850393700787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user</cp:lastModifiedBy>
  <cp:lastPrinted>2014-02-25T06:50:39Z</cp:lastPrinted>
  <dcterms:created xsi:type="dcterms:W3CDTF">2007-06-20T11:07:42Z</dcterms:created>
  <dcterms:modified xsi:type="dcterms:W3CDTF">2014-03-04T07:35:17Z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